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6195" yWindow="1320" windowWidth="20730" windowHeight="11760"/>
  </bookViews>
  <sheets>
    <sheet name="2014 Budget" sheetId="12" r:id="rId1"/>
    <sheet name="2013 Budget" sheetId="11" r:id="rId2"/>
    <sheet name="2012 budget" sheetId="10" r:id="rId3"/>
    <sheet name="Equipment" sheetId="2" r:id="rId4"/>
    <sheet name="Programs" sheetId="3" r:id="rId5"/>
    <sheet name="Safety" sheetId="4" r:id="rId6"/>
    <sheet name="Festival" sheetId="6" r:id="rId7"/>
    <sheet name="Junior Sweep" sheetId="9" r:id="rId8"/>
    <sheet name="consolidating 2011" sheetId="8" r:id="rId9"/>
    <sheet name="2011 Budget&amp;actual" sheetId="1" r:id="rId10"/>
  </sheets>
  <definedNames>
    <definedName name="_xlnm.Print_Area" localSheetId="1">'2013 Budget'!$A$1:$P$124</definedName>
    <definedName name="_xlnm.Print_Area" localSheetId="0">'2014 Budget'!$A$1:$Q$117</definedName>
    <definedName name="_xlnm.Print_Area" localSheetId="8">'consolidating 2011'!$A$1:$O$102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4" i="12" l="1"/>
  <c r="P116" i="12"/>
  <c r="I116" i="12"/>
  <c r="N113" i="12"/>
  <c r="P113" i="12"/>
  <c r="P107" i="12"/>
  <c r="P106" i="12"/>
  <c r="F75" i="12"/>
  <c r="E63" i="12"/>
  <c r="E56" i="12"/>
  <c r="E51" i="12"/>
  <c r="E47" i="12"/>
  <c r="N116" i="12"/>
  <c r="P109" i="12"/>
  <c r="P111" i="12"/>
  <c r="N109" i="12"/>
  <c r="N111" i="12"/>
  <c r="M116" i="12"/>
  <c r="L116" i="12"/>
  <c r="K116" i="12"/>
  <c r="J116" i="12"/>
  <c r="J109" i="12"/>
  <c r="J113" i="12"/>
  <c r="C99" i="12"/>
  <c r="I45" i="12"/>
  <c r="I70" i="12"/>
  <c r="I107" i="12"/>
  <c r="I109" i="12"/>
  <c r="I113" i="12"/>
  <c r="P45" i="12"/>
  <c r="F76" i="12"/>
  <c r="E43" i="12"/>
  <c r="E70" i="12"/>
  <c r="F73" i="12"/>
  <c r="F80" i="12"/>
  <c r="D71" i="12"/>
  <c r="N70" i="12"/>
  <c r="M70" i="12"/>
  <c r="L70" i="12"/>
  <c r="K70" i="12"/>
  <c r="J70" i="12"/>
  <c r="H70" i="12"/>
  <c r="H63" i="12"/>
  <c r="K63" i="12"/>
  <c r="P70" i="12"/>
  <c r="P68" i="12"/>
  <c r="P63" i="12"/>
  <c r="N63" i="12"/>
  <c r="M63" i="12"/>
  <c r="L63" i="12"/>
  <c r="P67" i="12"/>
  <c r="L67" i="12"/>
  <c r="M67" i="12"/>
  <c r="N67" i="12"/>
  <c r="K67" i="12"/>
  <c r="P66" i="12"/>
  <c r="N66" i="12"/>
  <c r="M66" i="12"/>
  <c r="L66" i="12"/>
  <c r="K66" i="12"/>
  <c r="I66" i="12"/>
  <c r="N68" i="12"/>
  <c r="L68" i="12"/>
  <c r="F30" i="12"/>
  <c r="F18" i="12"/>
  <c r="F10" i="12"/>
  <c r="F17" i="12"/>
  <c r="H107" i="12"/>
  <c r="H109" i="12"/>
  <c r="H113" i="12"/>
  <c r="E15" i="12"/>
  <c r="D61" i="12"/>
  <c r="D16" i="12"/>
  <c r="K61" i="12"/>
  <c r="H55" i="12"/>
  <c r="H18" i="12"/>
  <c r="E7" i="12"/>
  <c r="I7" i="12"/>
  <c r="I18" i="12"/>
  <c r="E16" i="12"/>
  <c r="K16" i="12"/>
  <c r="K15" i="12"/>
  <c r="K12" i="12"/>
  <c r="K13" i="12"/>
  <c r="K18" i="12"/>
  <c r="P18" i="12"/>
  <c r="E12" i="12"/>
  <c r="E13" i="12"/>
  <c r="H14" i="12"/>
  <c r="I9" i="12"/>
  <c r="I8" i="12"/>
  <c r="I6" i="12"/>
  <c r="H5" i="12"/>
  <c r="H4" i="12"/>
  <c r="E23" i="12"/>
  <c r="H23" i="12"/>
  <c r="H27" i="12"/>
  <c r="H30" i="12"/>
  <c r="E21" i="12"/>
  <c r="E22" i="12"/>
  <c r="M21" i="12"/>
  <c r="M27" i="12"/>
  <c r="E25" i="12"/>
  <c r="E24" i="12"/>
  <c r="N21" i="12"/>
  <c r="N27" i="12"/>
  <c r="E26" i="12"/>
  <c r="L26" i="12"/>
  <c r="L27" i="12"/>
  <c r="P30" i="12"/>
  <c r="P27" i="12"/>
  <c r="H106" i="12"/>
  <c r="K68" i="12"/>
  <c r="M68" i="12"/>
  <c r="N30" i="12"/>
  <c r="N106" i="12"/>
  <c r="N107" i="12"/>
  <c r="M30" i="12"/>
  <c r="M106" i="12"/>
  <c r="M107" i="12"/>
  <c r="M109" i="12"/>
  <c r="M113" i="12"/>
  <c r="K30" i="12"/>
  <c r="K106" i="12"/>
  <c r="K107" i="12"/>
  <c r="K109" i="12"/>
  <c r="K113" i="12"/>
  <c r="I30" i="12"/>
  <c r="I106" i="12"/>
  <c r="L30" i="12"/>
  <c r="J30" i="12"/>
  <c r="J18" i="12"/>
  <c r="O27" i="12"/>
  <c r="O30" i="12"/>
  <c r="O70" i="12"/>
  <c r="O75" i="12"/>
  <c r="O80" i="12"/>
  <c r="O106" i="12"/>
  <c r="O109" i="12"/>
  <c r="O113" i="12"/>
  <c r="D49" i="12"/>
  <c r="D50" i="12"/>
  <c r="D52" i="12"/>
  <c r="D53" i="12"/>
  <c r="D54" i="12"/>
  <c r="D58" i="12"/>
  <c r="D59" i="12"/>
  <c r="D60" i="12"/>
  <c r="D24" i="12"/>
  <c r="B61" i="12"/>
  <c r="F2" i="12"/>
  <c r="N48" i="12"/>
  <c r="N52" i="12"/>
  <c r="N57" i="12"/>
  <c r="M53" i="12"/>
  <c r="M49" i="12"/>
  <c r="M59" i="12"/>
  <c r="K58" i="12"/>
  <c r="B99" i="12"/>
  <c r="B101" i="12"/>
  <c r="E5" i="12"/>
  <c r="E4" i="12"/>
  <c r="D99" i="12"/>
  <c r="J45" i="12"/>
  <c r="J107" i="12"/>
  <c r="E96" i="12"/>
  <c r="E95" i="12"/>
  <c r="E94" i="12"/>
  <c r="E93" i="12"/>
  <c r="E91" i="12"/>
  <c r="I90" i="12"/>
  <c r="E90" i="12"/>
  <c r="D26" i="2"/>
  <c r="P78" i="12"/>
  <c r="N78" i="12"/>
  <c r="K78" i="12"/>
  <c r="K111" i="12"/>
  <c r="I78" i="12"/>
  <c r="I111" i="12"/>
  <c r="F78" i="12"/>
  <c r="L60" i="12"/>
  <c r="L54" i="12"/>
  <c r="L50" i="12"/>
  <c r="E40" i="12"/>
  <c r="I14" i="12"/>
  <c r="E14" i="12"/>
  <c r="J11" i="12"/>
  <c r="E11" i="12"/>
  <c r="E9" i="12"/>
  <c r="E8" i="12"/>
  <c r="E6" i="12"/>
  <c r="F27" i="12"/>
  <c r="E99" i="12"/>
  <c r="H45" i="12"/>
  <c r="E85" i="12"/>
  <c r="L106" i="12"/>
  <c r="I27" i="12"/>
  <c r="J106" i="12"/>
  <c r="J75" i="12"/>
  <c r="J80" i="12"/>
  <c r="L107" i="12"/>
  <c r="P6" i="12"/>
  <c r="B102" i="12"/>
  <c r="B102" i="11"/>
  <c r="G47" i="11"/>
  <c r="G74" i="11"/>
  <c r="G110" i="11"/>
  <c r="E21" i="11"/>
  <c r="G21" i="11"/>
  <c r="G23" i="11"/>
  <c r="G25" i="11"/>
  <c r="E26" i="11"/>
  <c r="G26" i="11"/>
  <c r="E28" i="11"/>
  <c r="G28" i="11"/>
  <c r="G30" i="11"/>
  <c r="G4" i="11"/>
  <c r="G5" i="11"/>
  <c r="E6" i="11"/>
  <c r="G6" i="11"/>
  <c r="G7" i="11"/>
  <c r="G8" i="11"/>
  <c r="G13" i="11"/>
  <c r="G16" i="11"/>
  <c r="G33" i="11"/>
  <c r="G109" i="11"/>
  <c r="G112" i="11"/>
  <c r="G116" i="11"/>
  <c r="I75" i="12"/>
  <c r="I80" i="12"/>
  <c r="M75" i="12"/>
  <c r="M80" i="12"/>
  <c r="D72" i="12"/>
  <c r="L75" i="12"/>
  <c r="L80" i="12"/>
  <c r="L109" i="12"/>
  <c r="L113" i="12"/>
  <c r="E27" i="11"/>
  <c r="K27" i="11"/>
  <c r="K30" i="11"/>
  <c r="K33" i="11"/>
  <c r="K109" i="11"/>
  <c r="D52" i="11"/>
  <c r="K52" i="11"/>
  <c r="D57" i="11"/>
  <c r="K57" i="11"/>
  <c r="D63" i="11"/>
  <c r="K63" i="11"/>
  <c r="K67" i="11"/>
  <c r="K74" i="11"/>
  <c r="K110" i="11"/>
  <c r="K112" i="11"/>
  <c r="K116" i="11"/>
  <c r="K75" i="12"/>
  <c r="K80" i="12"/>
  <c r="H75" i="12"/>
  <c r="H80" i="12"/>
  <c r="F80" i="11"/>
  <c r="D15" i="11"/>
  <c r="F88" i="12"/>
  <c r="E89" i="11"/>
  <c r="J82" i="11"/>
  <c r="H82" i="11"/>
  <c r="H93" i="11"/>
  <c r="E36" i="11"/>
  <c r="E87" i="11"/>
  <c r="E86" i="11"/>
  <c r="H5" i="11"/>
  <c r="E66" i="11"/>
  <c r="N66" i="11"/>
  <c r="E43" i="11"/>
  <c r="D65" i="11"/>
  <c r="N65" i="11"/>
  <c r="D58" i="11"/>
  <c r="N58" i="11"/>
  <c r="D53" i="11"/>
  <c r="N53" i="11"/>
  <c r="E88" i="11"/>
  <c r="D29" i="11"/>
  <c r="E29" i="11"/>
  <c r="N29" i="11"/>
  <c r="N30" i="11"/>
  <c r="N33" i="11"/>
  <c r="N109" i="11"/>
  <c r="E15" i="11"/>
  <c r="J15" i="11"/>
  <c r="E14" i="11"/>
  <c r="E5" i="11"/>
  <c r="D14" i="2"/>
  <c r="H117" i="11"/>
  <c r="O117" i="11"/>
  <c r="D102" i="11"/>
  <c r="C102" i="11"/>
  <c r="H47" i="11"/>
  <c r="H74" i="11"/>
  <c r="H110" i="11"/>
  <c r="E99" i="11"/>
  <c r="E98" i="11"/>
  <c r="E97" i="11"/>
  <c r="E96" i="11"/>
  <c r="E94" i="11"/>
  <c r="E93" i="11"/>
  <c r="O82" i="11"/>
  <c r="M82" i="11"/>
  <c r="M114" i="11"/>
  <c r="J114" i="11"/>
  <c r="H114" i="11"/>
  <c r="F82" i="11"/>
  <c r="E72" i="11"/>
  <c r="J72" i="11"/>
  <c r="D62" i="11"/>
  <c r="L62" i="11"/>
  <c r="D61" i="11"/>
  <c r="J61" i="11"/>
  <c r="D60" i="11"/>
  <c r="M60" i="11"/>
  <c r="D56" i="11"/>
  <c r="L56" i="11"/>
  <c r="D55" i="11"/>
  <c r="E54" i="11"/>
  <c r="D51" i="11"/>
  <c r="L51" i="11"/>
  <c r="D50" i="11"/>
  <c r="M50" i="11"/>
  <c r="E45" i="11"/>
  <c r="E25" i="11"/>
  <c r="E24" i="11"/>
  <c r="H24" i="11"/>
  <c r="E23" i="11"/>
  <c r="M19" i="11"/>
  <c r="M30" i="11"/>
  <c r="E22" i="11"/>
  <c r="H22" i="11"/>
  <c r="E20" i="11"/>
  <c r="E19" i="11"/>
  <c r="H13" i="11"/>
  <c r="E13" i="11"/>
  <c r="J12" i="11"/>
  <c r="E12" i="11"/>
  <c r="J11" i="11"/>
  <c r="E11" i="11"/>
  <c r="I10" i="11"/>
  <c r="I16" i="11"/>
  <c r="I33" i="11"/>
  <c r="E10" i="11"/>
  <c r="H8" i="11"/>
  <c r="E8" i="11"/>
  <c r="H7" i="11"/>
  <c r="E7" i="11"/>
  <c r="H4" i="11"/>
  <c r="O4" i="11"/>
  <c r="E4" i="11"/>
  <c r="P3" i="9"/>
  <c r="D14" i="9"/>
  <c r="D16" i="9"/>
  <c r="D22" i="9"/>
  <c r="P5" i="9"/>
  <c r="D8" i="9"/>
  <c r="E102" i="11"/>
  <c r="N67" i="11"/>
  <c r="B104" i="11"/>
  <c r="I47" i="11"/>
  <c r="P7" i="9"/>
  <c r="E16" i="11"/>
  <c r="D64" i="11"/>
  <c r="J64" i="11"/>
  <c r="J67" i="11"/>
  <c r="E49" i="11"/>
  <c r="M72" i="11"/>
  <c r="D28" i="2"/>
  <c r="E59" i="11"/>
  <c r="L72" i="11"/>
  <c r="N72" i="11"/>
  <c r="L19" i="11"/>
  <c r="L30" i="11"/>
  <c r="L33" i="11"/>
  <c r="L109" i="11"/>
  <c r="M33" i="11"/>
  <c r="E30" i="11"/>
  <c r="F9" i="11"/>
  <c r="O114" i="11"/>
  <c r="H16" i="11"/>
  <c r="D19" i="2"/>
  <c r="I109" i="11"/>
  <c r="L67" i="11"/>
  <c r="H30" i="11"/>
  <c r="M55" i="11"/>
  <c r="M67" i="11"/>
  <c r="B105" i="11"/>
  <c r="J14" i="11"/>
  <c r="L74" i="11"/>
  <c r="L110" i="11"/>
  <c r="N74" i="11"/>
  <c r="D76" i="11"/>
  <c r="F33" i="11"/>
  <c r="J16" i="11"/>
  <c r="J33" i="11"/>
  <c r="J109" i="11"/>
  <c r="I74" i="11"/>
  <c r="O47" i="11"/>
  <c r="H33" i="11"/>
  <c r="O72" i="11"/>
  <c r="O67" i="11"/>
  <c r="O30" i="11"/>
  <c r="O33" i="11"/>
  <c r="O109" i="11"/>
  <c r="E67" i="11"/>
  <c r="E74" i="11"/>
  <c r="F77" i="11"/>
  <c r="F79" i="11"/>
  <c r="F91" i="11"/>
  <c r="D75" i="11"/>
  <c r="M109" i="11"/>
  <c r="M74" i="11"/>
  <c r="M79" i="11"/>
  <c r="M84" i="11"/>
  <c r="K79" i="11"/>
  <c r="K84" i="11"/>
  <c r="L79" i="11"/>
  <c r="L84" i="11"/>
  <c r="O16" i="11"/>
  <c r="J74" i="11"/>
  <c r="J110" i="11"/>
  <c r="H109" i="11"/>
  <c r="H112" i="11"/>
  <c r="H116" i="11"/>
  <c r="H79" i="11"/>
  <c r="H84" i="11"/>
  <c r="L112" i="11"/>
  <c r="L116" i="11"/>
  <c r="N79" i="11"/>
  <c r="N84" i="11"/>
  <c r="N110" i="11"/>
  <c r="N112" i="11"/>
  <c r="N116" i="11"/>
  <c r="I110" i="11"/>
  <c r="I112" i="11"/>
  <c r="I116" i="11"/>
  <c r="I79" i="11"/>
  <c r="I84" i="11"/>
  <c r="M110" i="11"/>
  <c r="M112" i="11"/>
  <c r="M116" i="11"/>
  <c r="O76" i="11"/>
  <c r="O110" i="11"/>
  <c r="O112" i="11"/>
  <c r="O116" i="11"/>
  <c r="O119" i="11"/>
  <c r="G79" i="11"/>
  <c r="J79" i="11"/>
  <c r="O79" i="11"/>
  <c r="J84" i="11"/>
  <c r="F84" i="11"/>
  <c r="J112" i="11"/>
  <c r="J116" i="11"/>
  <c r="O80" i="11"/>
  <c r="O84" i="11"/>
  <c r="G84" i="11"/>
  <c r="G34" i="4"/>
  <c r="E4" i="10"/>
  <c r="G4" i="10"/>
  <c r="H4" i="10"/>
  <c r="N4" i="10"/>
  <c r="E5" i="10"/>
  <c r="E6" i="10"/>
  <c r="E7" i="10"/>
  <c r="E8" i="10"/>
  <c r="B97" i="10"/>
  <c r="G46" i="10"/>
  <c r="E22" i="10"/>
  <c r="G22" i="10"/>
  <c r="G24" i="10"/>
  <c r="G26" i="10"/>
  <c r="E27" i="10"/>
  <c r="G27" i="10"/>
  <c r="E29" i="10"/>
  <c r="G29" i="10"/>
  <c r="G6" i="10"/>
  <c r="G7" i="10"/>
  <c r="G8" i="10"/>
  <c r="G13" i="10"/>
  <c r="G15" i="10"/>
  <c r="C97" i="10"/>
  <c r="H46" i="10"/>
  <c r="H69" i="10"/>
  <c r="H105" i="10"/>
  <c r="H7" i="10"/>
  <c r="H8" i="10"/>
  <c r="H13" i="10"/>
  <c r="H15" i="10"/>
  <c r="E23" i="10"/>
  <c r="H23" i="10"/>
  <c r="E25" i="10"/>
  <c r="H25" i="10"/>
  <c r="I10" i="10"/>
  <c r="I15" i="10"/>
  <c r="I32" i="10"/>
  <c r="D97" i="10"/>
  <c r="I46" i="10"/>
  <c r="I69" i="10"/>
  <c r="I105" i="10"/>
  <c r="J11" i="10"/>
  <c r="J12" i="10"/>
  <c r="E14" i="10"/>
  <c r="J14" i="10"/>
  <c r="J15" i="10"/>
  <c r="J32" i="10"/>
  <c r="E67" i="10"/>
  <c r="J67" i="10"/>
  <c r="D58" i="10"/>
  <c r="J58" i="10"/>
  <c r="D61" i="10"/>
  <c r="J61" i="10"/>
  <c r="E18" i="10"/>
  <c r="E19" i="10"/>
  <c r="E20" i="10"/>
  <c r="E21" i="10"/>
  <c r="D59" i="10"/>
  <c r="L59" i="10"/>
  <c r="D54" i="10"/>
  <c r="L54" i="10"/>
  <c r="D50" i="10"/>
  <c r="L50" i="10"/>
  <c r="E24" i="10"/>
  <c r="E26" i="10"/>
  <c r="D57" i="10"/>
  <c r="M57" i="10"/>
  <c r="D53" i="10"/>
  <c r="M53" i="10"/>
  <c r="D49" i="10"/>
  <c r="M49" i="10"/>
  <c r="E28" i="10"/>
  <c r="K28" i="10"/>
  <c r="K30" i="10"/>
  <c r="K32" i="10"/>
  <c r="D51" i="10"/>
  <c r="K51" i="10"/>
  <c r="D55" i="10"/>
  <c r="K55" i="10"/>
  <c r="D60" i="10"/>
  <c r="K60" i="10"/>
  <c r="K62" i="10"/>
  <c r="K69" i="10"/>
  <c r="K105" i="10"/>
  <c r="M77" i="10"/>
  <c r="M109" i="10"/>
  <c r="E48" i="10"/>
  <c r="E13" i="10"/>
  <c r="E10" i="10"/>
  <c r="E11" i="10"/>
  <c r="E12" i="10"/>
  <c r="E15" i="10"/>
  <c r="E31" i="10"/>
  <c r="E35" i="10"/>
  <c r="E42" i="10"/>
  <c r="E44" i="10"/>
  <c r="F75" i="10"/>
  <c r="F77" i="10"/>
  <c r="H112" i="10"/>
  <c r="N112" i="10"/>
  <c r="H77" i="10"/>
  <c r="H109" i="10"/>
  <c r="J77" i="10"/>
  <c r="J109" i="10"/>
  <c r="H45" i="1"/>
  <c r="H46" i="1"/>
  <c r="H65" i="1"/>
  <c r="H68" i="1"/>
  <c r="H30" i="1"/>
  <c r="H11" i="1"/>
  <c r="H18" i="1"/>
  <c r="E96" i="10"/>
  <c r="E88" i="10"/>
  <c r="E89" i="10"/>
  <c r="E91" i="10"/>
  <c r="E92" i="10"/>
  <c r="E93" i="10"/>
  <c r="E94" i="10"/>
  <c r="E95" i="10"/>
  <c r="E83" i="10"/>
  <c r="H88" i="10"/>
  <c r="N77" i="10"/>
  <c r="H75" i="10"/>
  <c r="D71" i="10"/>
  <c r="O114" i="8"/>
  <c r="J90" i="8"/>
  <c r="G13" i="8"/>
  <c r="I13" i="8"/>
  <c r="F11" i="2"/>
  <c r="F12" i="2"/>
  <c r="G29" i="8"/>
  <c r="J29" i="8"/>
  <c r="E30" i="8"/>
  <c r="G26" i="8"/>
  <c r="I26" i="8"/>
  <c r="G90" i="8"/>
  <c r="E91" i="8"/>
  <c r="G91" i="8"/>
  <c r="G92" i="8"/>
  <c r="G93" i="8"/>
  <c r="G94" i="8"/>
  <c r="G95" i="8"/>
  <c r="G96" i="8"/>
  <c r="G97" i="8"/>
  <c r="G99" i="8"/>
  <c r="G39" i="8"/>
  <c r="L79" i="8"/>
  <c r="L111" i="8"/>
  <c r="J79" i="8"/>
  <c r="J111" i="8"/>
  <c r="O111" i="8"/>
  <c r="K16" i="8"/>
  <c r="K20" i="8"/>
  <c r="K36" i="8"/>
  <c r="F99" i="8"/>
  <c r="K49" i="8"/>
  <c r="K74" i="8"/>
  <c r="L17" i="8"/>
  <c r="L18" i="8"/>
  <c r="G69" i="8"/>
  <c r="L69" i="8"/>
  <c r="F61" i="8"/>
  <c r="F73" i="8"/>
  <c r="E99" i="8"/>
  <c r="J49" i="8"/>
  <c r="J71" i="8"/>
  <c r="J107" i="8"/>
  <c r="J12" i="8"/>
  <c r="J14" i="8"/>
  <c r="J15" i="8"/>
  <c r="J19" i="8"/>
  <c r="J77" i="8"/>
  <c r="D99" i="8"/>
  <c r="I49" i="8"/>
  <c r="F63" i="8"/>
  <c r="F62" i="8"/>
  <c r="M61" i="8"/>
  <c r="F57" i="8"/>
  <c r="F58" i="8"/>
  <c r="M57" i="8"/>
  <c r="F53" i="8"/>
  <c r="F54" i="8"/>
  <c r="M53" i="8"/>
  <c r="F60" i="8"/>
  <c r="N60" i="8"/>
  <c r="F56" i="8"/>
  <c r="N56" i="8"/>
  <c r="F52" i="8"/>
  <c r="N52" i="8"/>
  <c r="G23" i="8"/>
  <c r="G24" i="8"/>
  <c r="G25" i="8"/>
  <c r="G27" i="8"/>
  <c r="J27" i="8"/>
  <c r="G28" i="8"/>
  <c r="G30" i="8"/>
  <c r="G31" i="8"/>
  <c r="I31" i="8"/>
  <c r="G32" i="8"/>
  <c r="G33" i="8"/>
  <c r="G12" i="8"/>
  <c r="G14" i="8"/>
  <c r="G15" i="8"/>
  <c r="G16" i="8"/>
  <c r="G17" i="8"/>
  <c r="G18" i="8"/>
  <c r="G19" i="8"/>
  <c r="G46" i="8"/>
  <c r="G47" i="8"/>
  <c r="H79" i="8"/>
  <c r="I28" i="8"/>
  <c r="I30" i="8"/>
  <c r="M32" i="8"/>
  <c r="I33" i="8"/>
  <c r="I12" i="8"/>
  <c r="I14" i="8"/>
  <c r="I15" i="8"/>
  <c r="I19" i="8"/>
  <c r="O79" i="8"/>
  <c r="H9" i="8"/>
  <c r="G83" i="8"/>
  <c r="G85" i="8"/>
  <c r="F29" i="1"/>
  <c r="E56" i="1"/>
  <c r="E55" i="1"/>
  <c r="E54" i="1"/>
  <c r="F24" i="1"/>
  <c r="E60" i="1"/>
  <c r="E52" i="1"/>
  <c r="E51" i="1"/>
  <c r="F28" i="1"/>
  <c r="F6" i="2"/>
  <c r="F7" i="2"/>
  <c r="F8" i="2"/>
  <c r="G35" i="8"/>
  <c r="G33" i="4"/>
  <c r="F16" i="1"/>
  <c r="E50" i="1"/>
  <c r="F49" i="1"/>
  <c r="E61" i="1"/>
  <c r="E59" i="1"/>
  <c r="E67" i="1"/>
  <c r="E58" i="1"/>
  <c r="E35" i="3"/>
  <c r="E21" i="3"/>
  <c r="E20" i="3"/>
  <c r="H8" i="3"/>
  <c r="E19" i="3"/>
  <c r="E18" i="3"/>
  <c r="B35" i="3"/>
  <c r="E15" i="3"/>
  <c r="E36" i="3"/>
  <c r="H6" i="3"/>
  <c r="J6" i="3"/>
  <c r="E6" i="3"/>
  <c r="E7" i="3"/>
  <c r="E5" i="3"/>
  <c r="E9" i="3"/>
  <c r="E4" i="3"/>
  <c r="I3" i="3"/>
  <c r="E3" i="3"/>
  <c r="E27" i="3"/>
  <c r="E2" i="3"/>
  <c r="E33" i="3"/>
  <c r="F72" i="1"/>
  <c r="F74" i="1"/>
  <c r="F23" i="1"/>
  <c r="F21" i="1"/>
  <c r="F22" i="1"/>
  <c r="F25" i="1"/>
  <c r="F26" i="1"/>
  <c r="F27" i="1"/>
  <c r="F30" i="1"/>
  <c r="F17" i="1"/>
  <c r="F15" i="1"/>
  <c r="F14" i="1"/>
  <c r="F13" i="1"/>
  <c r="F44" i="1"/>
  <c r="F46" i="1"/>
  <c r="F8" i="1"/>
  <c r="F12" i="1"/>
  <c r="F11" i="1"/>
  <c r="F18" i="1"/>
  <c r="E37" i="3"/>
  <c r="H7" i="3"/>
  <c r="J20" i="8"/>
  <c r="I4" i="3"/>
  <c r="E11" i="3"/>
  <c r="E13" i="3"/>
  <c r="E14" i="3"/>
  <c r="K106" i="8"/>
  <c r="K76" i="8"/>
  <c r="K81" i="8"/>
  <c r="E97" i="10"/>
  <c r="H33" i="1"/>
  <c r="H70" i="1"/>
  <c r="M67" i="10"/>
  <c r="M18" i="10"/>
  <c r="M30" i="10"/>
  <c r="M32" i="10"/>
  <c r="L67" i="10"/>
  <c r="N67" i="10"/>
  <c r="F53" i="1"/>
  <c r="I20" i="8"/>
  <c r="J34" i="8"/>
  <c r="G55" i="8"/>
  <c r="E34" i="3"/>
  <c r="F57" i="1"/>
  <c r="I34" i="8"/>
  <c r="K71" i="8"/>
  <c r="K107" i="8"/>
  <c r="M62" i="10"/>
  <c r="M69" i="10"/>
  <c r="M105" i="10"/>
  <c r="L62" i="10"/>
  <c r="L69" i="10"/>
  <c r="L105" i="10"/>
  <c r="J62" i="10"/>
  <c r="N15" i="10"/>
  <c r="F31" i="1"/>
  <c r="F33" i="1"/>
  <c r="J104" i="10"/>
  <c r="F65" i="1"/>
  <c r="F68" i="1"/>
  <c r="E66" i="1"/>
  <c r="K74" i="10"/>
  <c r="K79" i="10"/>
  <c r="K104" i="10"/>
  <c r="K107" i="10"/>
  <c r="K111" i="10"/>
  <c r="I36" i="8"/>
  <c r="K109" i="8"/>
  <c r="K113" i="8"/>
  <c r="M74" i="10"/>
  <c r="M79" i="10"/>
  <c r="M104" i="10"/>
  <c r="M107" i="10"/>
  <c r="M111" i="10"/>
  <c r="J36" i="8"/>
  <c r="N64" i="8"/>
  <c r="N62" i="10"/>
  <c r="J69" i="10"/>
  <c r="J105" i="10"/>
  <c r="G69" i="10"/>
  <c r="G105" i="10"/>
  <c r="N46" i="10"/>
  <c r="G59" i="8"/>
  <c r="G20" i="8"/>
  <c r="G34" i="8"/>
  <c r="M64" i="8"/>
  <c r="D102" i="8"/>
  <c r="D101" i="8"/>
  <c r="L20" i="8"/>
  <c r="L36" i="8"/>
  <c r="N109" i="10"/>
  <c r="B100" i="10"/>
  <c r="B99" i="10"/>
  <c r="L18" i="10"/>
  <c r="L30" i="10"/>
  <c r="L32" i="10"/>
  <c r="E30" i="10"/>
  <c r="F32" i="10"/>
  <c r="I7" i="3"/>
  <c r="E8" i="3"/>
  <c r="E10" i="3"/>
  <c r="E12" i="3"/>
  <c r="G51" i="8"/>
  <c r="N23" i="8"/>
  <c r="N34" i="8"/>
  <c r="N36" i="8"/>
  <c r="M23" i="8"/>
  <c r="M34" i="8"/>
  <c r="M36" i="8"/>
  <c r="E56" i="10"/>
  <c r="E52" i="10"/>
  <c r="I104" i="10"/>
  <c r="I107" i="10"/>
  <c r="I111" i="10"/>
  <c r="I74" i="10"/>
  <c r="I79" i="10"/>
  <c r="H30" i="10"/>
  <c r="H32" i="10"/>
  <c r="G30" i="10"/>
  <c r="F9" i="10"/>
  <c r="H76" i="1"/>
  <c r="I71" i="8"/>
  <c r="I107" i="8"/>
  <c r="O49" i="8"/>
  <c r="H4" i="3"/>
  <c r="J4" i="3"/>
  <c r="J7" i="3"/>
  <c r="E28" i="3"/>
  <c r="E30" i="3"/>
  <c r="I8" i="3"/>
  <c r="J8" i="3"/>
  <c r="N69" i="8"/>
  <c r="M69" i="8"/>
  <c r="M71" i="8"/>
  <c r="M107" i="8"/>
  <c r="E62" i="10"/>
  <c r="E69" i="10"/>
  <c r="F72" i="10"/>
  <c r="D70" i="10"/>
  <c r="L61" i="8"/>
  <c r="L64" i="8"/>
  <c r="L71" i="8"/>
  <c r="L107" i="8"/>
  <c r="O20" i="8"/>
  <c r="N71" i="10"/>
  <c r="N105" i="10"/>
  <c r="F70" i="1"/>
  <c r="F76" i="1"/>
  <c r="E29" i="3"/>
  <c r="B32" i="3"/>
  <c r="I5" i="3"/>
  <c r="N106" i="8"/>
  <c r="H74" i="10"/>
  <c r="H79" i="10"/>
  <c r="H104" i="10"/>
  <c r="H107" i="10"/>
  <c r="H111" i="10"/>
  <c r="H114" i="10"/>
  <c r="G32" i="10"/>
  <c r="N30" i="10"/>
  <c r="G71" i="8"/>
  <c r="H74" i="8"/>
  <c r="F72" i="8"/>
  <c r="I2" i="3"/>
  <c r="F74" i="10"/>
  <c r="O36" i="8"/>
  <c r="O106" i="8"/>
  <c r="J76" i="8"/>
  <c r="J81" i="8"/>
  <c r="J106" i="8"/>
  <c r="J109" i="8"/>
  <c r="J113" i="8"/>
  <c r="J116" i="8"/>
  <c r="O34" i="8"/>
  <c r="L74" i="10"/>
  <c r="L79" i="10"/>
  <c r="L104" i="10"/>
  <c r="L107" i="10"/>
  <c r="L111" i="10"/>
  <c r="L106" i="8"/>
  <c r="L109" i="8"/>
  <c r="L113" i="8"/>
  <c r="L76" i="8"/>
  <c r="L81" i="8"/>
  <c r="H36" i="8"/>
  <c r="I76" i="8"/>
  <c r="I106" i="8"/>
  <c r="I109" i="8"/>
  <c r="I113" i="8"/>
  <c r="J107" i="10"/>
  <c r="J111" i="10"/>
  <c r="H3" i="3"/>
  <c r="E31" i="3"/>
  <c r="O64" i="8"/>
  <c r="O69" i="8"/>
  <c r="O73" i="8"/>
  <c r="O107" i="8"/>
  <c r="N71" i="8"/>
  <c r="N107" i="8"/>
  <c r="M76" i="8"/>
  <c r="M81" i="8"/>
  <c r="M106" i="8"/>
  <c r="M109" i="8"/>
  <c r="M113" i="8"/>
  <c r="H5" i="3"/>
  <c r="J5" i="3"/>
  <c r="E32" i="3"/>
  <c r="N32" i="10"/>
  <c r="N104" i="10"/>
  <c r="N107" i="10"/>
  <c r="N111" i="10"/>
  <c r="N114" i="10"/>
  <c r="J74" i="10"/>
  <c r="J79" i="10"/>
  <c r="E17" i="3"/>
  <c r="B33" i="3"/>
  <c r="B31" i="3"/>
  <c r="N76" i="8"/>
  <c r="N81" i="8"/>
  <c r="O109" i="8"/>
  <c r="O113" i="8"/>
  <c r="O116" i="8"/>
  <c r="B29" i="3"/>
  <c r="I81" i="8"/>
  <c r="F79" i="10"/>
  <c r="F85" i="10"/>
  <c r="J3" i="3"/>
  <c r="J2" i="3"/>
  <c r="H2" i="3"/>
  <c r="H76" i="8"/>
  <c r="G74" i="10"/>
  <c r="G104" i="10"/>
  <c r="G107" i="10"/>
  <c r="N109" i="8"/>
  <c r="N113" i="8"/>
  <c r="G114" i="10"/>
  <c r="G111" i="10"/>
  <c r="O76" i="8"/>
  <c r="O77" i="8"/>
  <c r="O81" i="8"/>
  <c r="G79" i="10"/>
  <c r="N74" i="10"/>
  <c r="N75" i="10"/>
  <c r="N79" i="10"/>
  <c r="B30" i="3"/>
  <c r="E16" i="3"/>
  <c r="H81" i="8"/>
  <c r="H87" i="8"/>
  <c r="N75" i="12"/>
  <c r="N80" i="12"/>
  <c r="P75" i="12"/>
  <c r="P76" i="12"/>
  <c r="P80" i="12"/>
</calcChain>
</file>

<file path=xl/comments1.xml><?xml version="1.0" encoding="utf-8"?>
<comments xmlns="http://schemas.openxmlformats.org/spreadsheetml/2006/main">
  <authors>
    <author>Karen Scammell</author>
    <author>kscammell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assume after LTScull, 8 members convert at $50 plus $100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4 week sessions, 3 rows per week at $100 each; assuming will run 3 sessions; min 6 for breakeven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4 weeks sessions at 1/week at $40/month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4 week sessions at 2 rows/week for $100 each person</t>
        </r>
      </text>
    </comment>
    <comment ref="E40" authorId="1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$500
</t>
        </r>
      </text>
    </comment>
    <comment ref="F97" authorId="1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</commentList>
</comments>
</file>

<file path=xl/comments2.xml><?xml version="1.0" encoding="utf-8"?>
<comments xmlns="http://schemas.openxmlformats.org/spreadsheetml/2006/main">
  <authors>
    <author>Karen Scammell</author>
    <author>kscammell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assume after LTScull, 8 members convert at $50 plus $100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8 week sessions at $250 each; assuming with run 2 sessions; min 6 for breakeven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Karen Scammell:</t>
        </r>
        <r>
          <rPr>
            <sz val="9"/>
            <color indexed="81"/>
            <rFont val="Tahoma"/>
            <family val="2"/>
          </rPr>
          <t xml:space="preserve">
$110 per month; assuming 4 months coaching; 6 min-max
</t>
        </r>
      </text>
    </comment>
    <comment ref="E43" authorId="1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  <comment ref="F100" authorId="1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</commentList>
</comments>
</file>

<file path=xl/comments3.xml><?xml version="1.0" encoding="utf-8"?>
<comments xmlns="http://schemas.openxmlformats.org/spreadsheetml/2006/main">
  <authors>
    <author>kscammell</author>
  </authors>
  <commentList>
    <comment ref="E42" authorId="0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</commentList>
</comments>
</file>

<file path=xl/comments4.xml><?xml version="1.0" encoding="utf-8"?>
<comments xmlns="http://schemas.openxmlformats.org/spreadsheetml/2006/main">
  <authors>
    <author>kscammell</author>
  </authors>
  <commentList>
    <comment ref="C8" authorId="0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Bob Bowen - parts for P1, P2, P3 and epoxy kit</t>
        </r>
      </text>
    </comment>
  </commentList>
</comments>
</file>

<file path=xl/comments5.xml><?xml version="1.0" encoding="utf-8"?>
<comments xmlns="http://schemas.openxmlformats.org/spreadsheetml/2006/main">
  <authors>
    <author>kscammell</author>
  </authors>
  <commentList>
    <comment ref="G46" authorId="0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</commentList>
</comments>
</file>

<file path=xl/comments6.xml><?xml version="1.0" encoding="utf-8"?>
<comments xmlns="http://schemas.openxmlformats.org/spreadsheetml/2006/main">
  <authors>
    <author>kscammell</author>
  </authors>
  <commentList>
    <comment ref="F44" authorId="0">
      <text>
        <r>
          <rPr>
            <b/>
            <sz val="8"/>
            <color indexed="81"/>
            <rFont val="Tahoma"/>
            <family val="2"/>
          </rPr>
          <t>kscammell:</t>
        </r>
        <r>
          <rPr>
            <sz val="8"/>
            <color indexed="81"/>
            <rFont val="Tahoma"/>
            <family val="2"/>
          </rPr>
          <t xml:space="preserve">
2 HS scholarships @ $250 each, Merrimack Watershed @ $100
</t>
        </r>
      </text>
    </comment>
  </commentList>
</comments>
</file>

<file path=xl/sharedStrings.xml><?xml version="1.0" encoding="utf-8"?>
<sst xmlns="http://schemas.openxmlformats.org/spreadsheetml/2006/main" count="977" uniqueCount="380">
  <si>
    <t xml:space="preserve">Pro-forma budget for MRRA </t>
  </si>
  <si>
    <t>CY 2011</t>
  </si>
  <si>
    <t>Starting balance</t>
  </si>
  <si>
    <t>Income</t>
  </si>
  <si>
    <t>Expenses</t>
  </si>
  <si>
    <t>Racks</t>
  </si>
  <si>
    <t>qty</t>
  </si>
  <si>
    <t xml:space="preserve">New bow lights            </t>
  </si>
  <si>
    <t xml:space="preserve"> </t>
  </si>
  <si>
    <t>AAA</t>
  </si>
  <si>
    <t>Button Batteries</t>
  </si>
  <si>
    <t>4 sets at 60 ea plus 12 shipping                     </t>
  </si>
  <si>
    <t>Stern Lights</t>
  </si>
  <si>
    <t>2 sets at $39 each plus $12 shipping</t>
  </si>
  <si>
    <t>2 smaller sets at $20 each</t>
  </si>
  <si>
    <t>Lights</t>
  </si>
  <si>
    <t xml:space="preserve">Batteries for lights:                                            </t>
  </si>
  <si>
    <t>Lights:</t>
  </si>
  <si>
    <t>Total</t>
  </si>
  <si>
    <t>Payments to UML</t>
  </si>
  <si>
    <t>Insurance</t>
  </si>
  <si>
    <t>Safety</t>
  </si>
  <si>
    <t>Bylaws</t>
  </si>
  <si>
    <t>Capital Expense</t>
  </si>
  <si>
    <t>New Launch</t>
  </si>
  <si>
    <t>New 1X</t>
  </si>
  <si>
    <t>Tranfer from TRR</t>
  </si>
  <si>
    <t>Total starting balance</t>
  </si>
  <si>
    <t>US Rowing membership</t>
  </si>
  <si>
    <t>Scholarships - Charity</t>
  </si>
  <si>
    <t>Annual Party</t>
  </si>
  <si>
    <t>Sculling Membership</t>
  </si>
  <si>
    <t>Add family</t>
  </si>
  <si>
    <t>Sculling Student</t>
  </si>
  <si>
    <t>convert to mem fee</t>
  </si>
  <si>
    <t>Equipment Maintenance</t>
  </si>
  <si>
    <t>Sweep Categories</t>
  </si>
  <si>
    <t>Open Sweep (season)</t>
  </si>
  <si>
    <t xml:space="preserve">Summer Student </t>
  </si>
  <si>
    <t>Programs</t>
  </si>
  <si>
    <t>Coxswains</t>
  </si>
  <si>
    <t>Boat rentals</t>
  </si>
  <si>
    <t>Coaching</t>
  </si>
  <si>
    <t>reserve for damage</t>
  </si>
  <si>
    <t>check deductible - assume 4 incidents</t>
  </si>
  <si>
    <t>Total sculling</t>
  </si>
  <si>
    <t>Gas for launch</t>
  </si>
  <si>
    <t>Sculling adder</t>
  </si>
  <si>
    <t>Total Sweep</t>
  </si>
  <si>
    <t>Total Income</t>
  </si>
  <si>
    <t>Total Expenses</t>
  </si>
  <si>
    <t>Total Capital Expense</t>
  </si>
  <si>
    <t>Total Operating Income/(Loss)</t>
  </si>
  <si>
    <t>Remainder after capital expense</t>
  </si>
  <si>
    <t>Global Constants</t>
  </si>
  <si>
    <t>Calculations</t>
  </si>
  <si>
    <t>Anticipated Budgets</t>
  </si>
  <si>
    <t>Open Sweep</t>
  </si>
  <si>
    <t>Master's Sweep</t>
  </si>
  <si>
    <t>Weeks in season</t>
  </si>
  <si>
    <t>Open Sweep coaching cost</t>
  </si>
  <si>
    <t>Total Budget</t>
  </si>
  <si>
    <t>Open/Masters sweep coach fee / session</t>
  </si>
  <si>
    <t>Master's Sweep coaching cost</t>
  </si>
  <si>
    <t xml:space="preserve">   Total Coxswain Budget</t>
  </si>
  <si>
    <t>UML sweep boat usage fee</t>
  </si>
  <si>
    <t>Master's sweep coxswain cost</t>
  </si>
  <si>
    <t xml:space="preserve">   Total Coach Budget</t>
  </si>
  <si>
    <t>MRRA/Boathouse per-user Overhead</t>
  </si>
  <si>
    <t>Master's Sweep total number of rows</t>
  </si>
  <si>
    <t xml:space="preserve">   Total Equip Budget</t>
  </si>
  <si>
    <t>Open Sweep number of coached sessions</t>
  </si>
  <si>
    <t>Open Sweep avg rows/person</t>
  </si>
  <si>
    <t xml:space="preserve">   Total MRRA Overhead</t>
  </si>
  <si>
    <t>Masters Sweep number of coached sessions</t>
  </si>
  <si>
    <t>Open Sweep total number of rows</t>
  </si>
  <si>
    <t xml:space="preserve">   Total Misc Equip and Damage Budget</t>
  </si>
  <si>
    <t>Number of members of open sweep</t>
  </si>
  <si>
    <t>Open Sweep Coxswain cost</t>
  </si>
  <si>
    <t xml:space="preserve">   Total Gas Budget</t>
  </si>
  <si>
    <t>Number of members of masters sweep</t>
  </si>
  <si>
    <t>Total number of sweep rows (master+open)</t>
  </si>
  <si>
    <t>Masters's sweep avg Number of people in a boat</t>
  </si>
  <si>
    <t>% of sweep usage due from open sweep</t>
  </si>
  <si>
    <t>Master's sweep avg rows/person</t>
  </si>
  <si>
    <t>% of sweep usage due to masters sweep</t>
  </si>
  <si>
    <t>Master's coxswain fee</t>
  </si>
  <si>
    <t>Equipment fee for open sweep</t>
  </si>
  <si>
    <t>Open Coxswain fee</t>
  </si>
  <si>
    <t>Equipment fee for masters sweep</t>
  </si>
  <si>
    <t>Open Sweep rows/week</t>
  </si>
  <si>
    <t>Fee to UML for each row</t>
  </si>
  <si>
    <t>Open Sweep avg number of people in a boat</t>
  </si>
  <si>
    <t>Total number of sweep rowers</t>
  </si>
  <si>
    <t>Sweep Boat Insurance</t>
  </si>
  <si>
    <t>Open Sweep cost/row</t>
  </si>
  <si>
    <t>Misc Equipment and Damage Budget</t>
  </si>
  <si>
    <t>Master's Sweep cost/row</t>
  </si>
  <si>
    <t>Gas used per coached session (Gal)</t>
  </si>
  <si>
    <t>College/Regular Payment ratio</t>
  </si>
  <si>
    <t>Gas cost per-gallon</t>
  </si>
  <si>
    <t>Gallons of gas used</t>
  </si>
  <si>
    <t>Open Sweep Additional Sessions w/ Launch, no coach</t>
  </si>
  <si>
    <t>Open Sweep Cost of Gas</t>
  </si>
  <si>
    <t>Master's Sweep Additional Sessions w/ Launch, no coach</t>
  </si>
  <si>
    <t>Master's sweep cost of Gas</t>
  </si>
  <si>
    <t>Shopping Cart Model Results</t>
  </si>
  <si>
    <t>Shopping Cart Breakdown</t>
  </si>
  <si>
    <t>Sculling Only</t>
  </si>
  <si>
    <t>Master's Sweep Coaching</t>
  </si>
  <si>
    <t>Sculling Only (College)</t>
  </si>
  <si>
    <t>Master's Sweep Coxswain fee</t>
  </si>
  <si>
    <t>Open Sweep Only</t>
  </si>
  <si>
    <t>Master's sweep equip fee</t>
  </si>
  <si>
    <t>Open Sweep Only (College)</t>
  </si>
  <si>
    <t>Master's Sweep Gas Fee</t>
  </si>
  <si>
    <t>Master's sweep only</t>
  </si>
  <si>
    <t>Open Sweep Coxswain fee</t>
  </si>
  <si>
    <t>Sculling + Masters Sweep I,II,III(+)</t>
  </si>
  <si>
    <t>Open Sweep equipment usage fee</t>
  </si>
  <si>
    <t>Sculling + Masters Sweep I (+)</t>
  </si>
  <si>
    <t>Open Sweep Coaching (+)</t>
  </si>
  <si>
    <t>Open Sweep + Sculling (+)</t>
  </si>
  <si>
    <t>Open Sweep Gas Fee</t>
  </si>
  <si>
    <t>Open Sweep + Sculling (+) (College)</t>
  </si>
  <si>
    <t>MRRA/Boathouse overhead</t>
  </si>
  <si>
    <t>Sweep boat insurance fee</t>
  </si>
  <si>
    <t>Misc Equipment and Damage</t>
  </si>
  <si>
    <t>Open</t>
  </si>
  <si>
    <t>Adult Sweep</t>
  </si>
  <si>
    <t>Learn 2 Sweep</t>
  </si>
  <si>
    <t>Masters Sweep 1</t>
  </si>
  <si>
    <t>masters Sweep 2</t>
  </si>
  <si>
    <t>Masters Sweep 3</t>
  </si>
  <si>
    <t>LTSweep</t>
  </si>
  <si>
    <t>what to charge to convert to member after LTS1, 2</t>
  </si>
  <si>
    <t>still to be done &amp; confirmed</t>
  </si>
  <si>
    <t>Possible expense - CPR training</t>
  </si>
  <si>
    <t>Launch rental</t>
  </si>
  <si>
    <t>LTScull</t>
  </si>
  <si>
    <t>6 week non-member session; 1 launch - 12 times</t>
  </si>
  <si>
    <t>assuming 2 people do not re-up for 2nd session</t>
  </si>
  <si>
    <t>to carry 4 passengers plus launch driver in emerg</t>
  </si>
  <si>
    <t>24 rows</t>
  </si>
  <si>
    <t>12 rows</t>
  </si>
  <si>
    <t>6 people per session @ 2 sessions</t>
  </si>
  <si>
    <t>4 weeks @ 2/week @ $10/row</t>
  </si>
  <si>
    <t>split 1/3 for sculling and 2/3 for sweep</t>
  </si>
  <si>
    <t>Total Program Expenses</t>
  </si>
  <si>
    <t>Operating Expenses</t>
  </si>
  <si>
    <t>Sweep Expenses</t>
  </si>
  <si>
    <t>Sculling Expenses</t>
  </si>
  <si>
    <t>assuming LTS and Sweep; added $600 to round up to $5K</t>
  </si>
  <si>
    <t xml:space="preserve">32 weeks; 3 boats 3x/week; </t>
  </si>
  <si>
    <t>$10 cox fee (assuming HS student)</t>
  </si>
  <si>
    <t>coach for every session (32)</t>
  </si>
  <si>
    <t>1 coach in launch/wk - 32 times</t>
  </si>
  <si>
    <t>Repairs</t>
  </si>
  <si>
    <t>Budget</t>
  </si>
  <si>
    <t>Actual</t>
  </si>
  <si>
    <t>Misc</t>
  </si>
  <si>
    <t>Capital</t>
  </si>
  <si>
    <t>Revenue from Boat Sales</t>
  </si>
  <si>
    <t>total</t>
  </si>
  <si>
    <t>Balance</t>
  </si>
  <si>
    <t>Total Equip Budget</t>
  </si>
  <si>
    <t>Revenue from Sale of boats</t>
  </si>
  <si>
    <t>2 coach launch /wk- 12 times</t>
  </si>
  <si>
    <t>Masters Sweep  add Scull</t>
  </si>
  <si>
    <t>may consider pro-rating by 50%</t>
  </si>
  <si>
    <t>estimate -based on $12.5/row</t>
  </si>
  <si>
    <t>base student is $50</t>
  </si>
  <si>
    <t>assuming $50 for student membership fee</t>
  </si>
  <si>
    <t>LTScull Program - sess 1 (I, II)</t>
  </si>
  <si>
    <t>LTScull Program - sess 2 (I, II)</t>
  </si>
  <si>
    <t>LTSweep MRRA mem</t>
  </si>
  <si>
    <t>possible to extend to 2nd session when the time comes</t>
  </si>
  <si>
    <t>this might go higher with higher MRRA members</t>
  </si>
  <si>
    <t>This is an estimate from Equipment committee</t>
  </si>
  <si>
    <t>consider another $1000 for CPR training subsidy</t>
  </si>
  <si>
    <t>est. - might be lower since MRRA will have 2 launches</t>
  </si>
  <si>
    <t>NEED comparisons</t>
  </si>
  <si>
    <t>base MRRA membership is $75 / review overhead</t>
  </si>
  <si>
    <t>what to charge for Sweep who want to scull?? ISSUE</t>
  </si>
  <si>
    <t>6 week program session; 2x/week with coach,cox. Another?</t>
  </si>
  <si>
    <t>CONSOLIDATING</t>
  </si>
  <si>
    <t>COST allocations</t>
  </si>
  <si>
    <t>Overhead</t>
  </si>
  <si>
    <t>member</t>
  </si>
  <si>
    <t>racks</t>
  </si>
  <si>
    <t>safety</t>
  </si>
  <si>
    <t>bylaws</t>
  </si>
  <si>
    <t>party</t>
  </si>
  <si>
    <t>membership</t>
  </si>
  <si>
    <t>scholarships</t>
  </si>
  <si>
    <t>per member 60 + 12 + 10 = 82</t>
  </si>
  <si>
    <t>with students + 10 = 92</t>
  </si>
  <si>
    <t>insurance: 85% club/private</t>
  </si>
  <si>
    <t>maintenance: 85% club/private</t>
  </si>
  <si>
    <t>Base</t>
  </si>
  <si>
    <t>ClubScull</t>
  </si>
  <si>
    <t>Rack</t>
  </si>
  <si>
    <t>MasterSw</t>
  </si>
  <si>
    <t>CompSw</t>
  </si>
  <si>
    <t>NO  Equipment sale</t>
  </si>
  <si>
    <t>OVERHEAD</t>
  </si>
  <si>
    <t>see calculations below</t>
  </si>
  <si>
    <t>Sub total</t>
  </si>
  <si>
    <t>Other Total</t>
  </si>
  <si>
    <t>what rent?</t>
  </si>
  <si>
    <t>with boat sale</t>
  </si>
  <si>
    <t>8000/ year</t>
  </si>
  <si>
    <t>NET  INCOME</t>
  </si>
  <si>
    <t>TOTAL</t>
  </si>
  <si>
    <t>INCOME</t>
  </si>
  <si>
    <t>EXPENSES</t>
  </si>
  <si>
    <t>Bank Balance</t>
  </si>
  <si>
    <t>w/o boat</t>
  </si>
  <si>
    <t>with boat</t>
  </si>
  <si>
    <t>Depreciation Charge (non-cash)</t>
  </si>
  <si>
    <t>UML, split rack %50</t>
  </si>
  <si>
    <t>$500 deductible - assume 4 incidents</t>
  </si>
  <si>
    <t>increased Payments to UML to $15K from $12.500</t>
  </si>
  <si>
    <t>base MRRA membership is $100/ review overhead</t>
  </si>
  <si>
    <t>Sculling (Student)</t>
  </si>
  <si>
    <t>If a person can pass boatcaptains test after LTS1, they pay $150 to become member</t>
  </si>
  <si>
    <t>Masters Sweep add membership</t>
  </si>
  <si>
    <t>KLS updated 2/22/2011 (Programs and Membership)</t>
  </si>
  <si>
    <t xml:space="preserve">Summer Sweep Open (Student) </t>
  </si>
  <si>
    <t>Student Sculling adder</t>
  </si>
  <si>
    <t>Open Sweep add Scull w/restrictions</t>
  </si>
  <si>
    <t xml:space="preserve">No rowing M-F 5 - 7:30am; Sat 6 - 8am;  </t>
  </si>
  <si>
    <t xml:space="preserve">Logic:  likely would not occur until close to August to consider prorated </t>
  </si>
  <si>
    <t>reduced from $2K;  can increase if money allows at end of year</t>
  </si>
  <si>
    <t>detail</t>
  </si>
  <si>
    <t>LTScull Program - sess 1 (a,b)</t>
  </si>
  <si>
    <t>LTScull Program - sess 2 (a,b)</t>
  </si>
  <si>
    <t>Rack sculler with no club boat</t>
  </si>
  <si>
    <t>Racks (cost is $323)</t>
  </si>
  <si>
    <t>Revenue</t>
  </si>
  <si>
    <t>Program P &amp; L</t>
  </si>
  <si>
    <t>Expense</t>
  </si>
  <si>
    <t>Profit</t>
  </si>
  <si>
    <t>boat reserve</t>
  </si>
  <si>
    <t>After reserve</t>
  </si>
  <si>
    <t>sale of boat</t>
  </si>
  <si>
    <t>Net Profit</t>
  </si>
  <si>
    <t>2011 Budget</t>
  </si>
  <si>
    <t>2012 Budget</t>
  </si>
  <si>
    <t xml:space="preserve">late signing fee </t>
  </si>
  <si>
    <t>Bylaws / social</t>
  </si>
  <si>
    <t>uml split rack</t>
  </si>
  <si>
    <t>insurance</t>
  </si>
  <si>
    <t>social</t>
  </si>
  <si>
    <t>usrowing</t>
  </si>
  <si>
    <t>maintenance</t>
  </si>
  <si>
    <t>Cash balance after capital expense</t>
  </si>
  <si>
    <t>OPENING Cash Balance</t>
  </si>
  <si>
    <t>other</t>
  </si>
  <si>
    <t>late member fees (25)</t>
  </si>
  <si>
    <t>2011 Actual</t>
  </si>
  <si>
    <t>convert mem fee, other</t>
  </si>
  <si>
    <t>Budget 2011</t>
  </si>
  <si>
    <t>subtotal other op exp</t>
  </si>
  <si>
    <t>lots of unallocated or different QB accounts</t>
  </si>
  <si>
    <t>estimate -based on $12.5/row, HIGHER, how billed?</t>
  </si>
  <si>
    <t>ALL told ON budget with + / -</t>
  </si>
  <si>
    <t>Other</t>
  </si>
  <si>
    <t>New boat and equipment</t>
  </si>
  <si>
    <t>JWB first draft Feb 5 2012</t>
  </si>
  <si>
    <t>Sculling coached sessions 1 &amp; 2</t>
  </si>
  <si>
    <t>sculling, coaching</t>
  </si>
  <si>
    <t>Budget 2012</t>
  </si>
  <si>
    <t>Masters Sweep 4</t>
  </si>
  <si>
    <t>Operating income after depreciation</t>
  </si>
  <si>
    <t>per member</t>
  </si>
  <si>
    <t xml:space="preserve"> with students</t>
  </si>
  <si>
    <t>sub total</t>
  </si>
  <si>
    <t>boat depreciation</t>
  </si>
  <si>
    <t>CPR Class - $36 paid by members; $24 paid by MRRA</t>
  </si>
  <si>
    <t>Assumptions</t>
  </si>
  <si>
    <t>Rowers</t>
  </si>
  <si>
    <t>Boat Rental</t>
  </si>
  <si>
    <t>number of rows</t>
  </si>
  <si>
    <t>Numbers of sessions</t>
  </si>
  <si>
    <t>Comments</t>
  </si>
  <si>
    <t>27 rowers; 3 eights plus 3 extras</t>
  </si>
  <si>
    <t>per seat per session</t>
  </si>
  <si>
    <t>Row Tues - Wed - Thurs for 3 weeks</t>
  </si>
  <si>
    <t>initial plan is 8 - 10am</t>
  </si>
  <si>
    <t>2 sets of 3 weeks each</t>
  </si>
  <si>
    <t>1) June 25, July 9th, July 16th</t>
  </si>
  <si>
    <t>2) July 23,  July 30, Aug 6</t>
  </si>
  <si>
    <t>per coach per row (assume 1 coach per eight shell)</t>
  </si>
  <si>
    <t>coaching per person/session</t>
  </si>
  <si>
    <t>Coxswain</t>
  </si>
  <si>
    <t>per row; prefer no charge</t>
  </si>
  <si>
    <t>cox fee per person/session</t>
  </si>
  <si>
    <t>Gas, misc</t>
  </si>
  <si>
    <t>Cost per person/session</t>
  </si>
  <si>
    <t>$5 per rower</t>
  </si>
  <si>
    <t>Racing tanks</t>
  </si>
  <si>
    <t>Fee per rower</t>
  </si>
  <si>
    <t>Net income</t>
  </si>
  <si>
    <t>Net Revenue</t>
  </si>
  <si>
    <t>Fee to Univ</t>
  </si>
  <si>
    <t>12.5% per customary University camp charges</t>
  </si>
  <si>
    <t>many of the juniors liked to race - Methuen sprints</t>
  </si>
  <si>
    <t>Purchase 4X/4-</t>
  </si>
  <si>
    <t>Purchase MW 1X</t>
  </si>
  <si>
    <t>Purchase HW 1X</t>
  </si>
  <si>
    <t>Purchase S-HW 1X</t>
  </si>
  <si>
    <t>sell Filippi 4X</t>
  </si>
  <si>
    <t>Net Equipment Budget</t>
  </si>
  <si>
    <t>Net cost: ~$10,000</t>
  </si>
  <si>
    <t>•First Purchase an upgraded MW or HW 4x/4-, then initiate the sale of the current 4x</t>
  </si>
  <si>
    <t>oContingent on temporary rack space being available from UML</t>
  </si>
  <si>
    <t>oDepending on timing of sale/purchase, club could see temporary benefit of two quads for the summer</t>
  </si>
  <si>
    <t>•Search last year found 3 4x/4-'s comparable to the current quad for $9,000-$12,000</t>
  </si>
  <si>
    <t>•Example Hull: Vespoli offering 2010 Demo M2 HW 4x/- for $19,900</t>
  </si>
  <si>
    <t>Equipment committee recommendation - Feb 2013</t>
  </si>
  <si>
    <t>oEstimated proceeds from Filippi 4X  Sale: $8,000-10,000</t>
  </si>
  <si>
    <t>Sell Peinert #2 (1987) – est. proceeds ~ $1,000</t>
  </si>
  <si>
    <t>Sell Peinert #3 (1989) – est. proceeds ~ $1,000</t>
  </si>
  <si>
    <t>Sell Fisa 1 (1994) – est. Proceeds ~ $1,500</t>
  </si>
  <si>
    <t>Purchase Peinert P26</t>
  </si>
  <si>
    <t>Purchase Vespoli MW or HW, pending further examination</t>
  </si>
  <si>
    <t>Net Cost: ~$11k</t>
  </si>
  <si>
    <t>Time frame: August 2013, per Paul Milde, Peinert</t>
  </si>
  <si>
    <t>4X/4- Conversion</t>
  </si>
  <si>
    <t>Upgrade 1X fleet</t>
  </si>
  <si>
    <t>sell Peinert 2 (1987)</t>
  </si>
  <si>
    <t>sell Peinert 3 (1989)</t>
  </si>
  <si>
    <t>sell Fisa (1994)</t>
  </si>
  <si>
    <t>•Request $21k for equipment purchases for 2013</t>
  </si>
  <si>
    <t>oAllocate $11k to improved 1x's</t>
  </si>
  <si>
    <t>oAllocate $10k to upgrade the current HW 4x to a MW/HW 4x/4-</t>
  </si>
  <si>
    <t>2013 Budget</t>
  </si>
  <si>
    <t>half year members/ restricted</t>
  </si>
  <si>
    <t>convert to mem fee &amp; sculling</t>
  </si>
  <si>
    <t>Intermediate Sculling -coached</t>
  </si>
  <si>
    <t>Advanced Sculling - coached</t>
  </si>
  <si>
    <t>Junior Sweep Camp</t>
  </si>
  <si>
    <t>jr sweep camp</t>
  </si>
  <si>
    <t>Jr Sweep camp expenses</t>
  </si>
  <si>
    <t>t shirts, fees, gas</t>
  </si>
  <si>
    <t>2* $1000 deductible</t>
  </si>
  <si>
    <t>Other (misc, stamps, etc)</t>
  </si>
  <si>
    <t>charity, scholarships</t>
  </si>
  <si>
    <t>Jr Camp</t>
  </si>
  <si>
    <t>Jr camp</t>
  </si>
  <si>
    <t>Jr Cam[</t>
  </si>
  <si>
    <t>Revenue from sale of boats</t>
  </si>
  <si>
    <t>sub total membership</t>
  </si>
  <si>
    <t>Purchase 4X/4- with 10% variance</t>
  </si>
  <si>
    <t>Purchase 3 @ 1X plus 1000</t>
  </si>
  <si>
    <t>2014 Budget</t>
  </si>
  <si>
    <t>notes</t>
  </si>
  <si>
    <t>Membership discounted</t>
  </si>
  <si>
    <t>Membership full price</t>
  </si>
  <si>
    <t>2013:  88 members</t>
  </si>
  <si>
    <t>2013 had 38 full sculling</t>
  </si>
  <si>
    <t>2013: 12 were restricted</t>
  </si>
  <si>
    <t xml:space="preserve">not including temps </t>
  </si>
  <si>
    <t>in 2013: 0 converted</t>
  </si>
  <si>
    <t>check jason</t>
  </si>
  <si>
    <t>would double this if run 2 sessions</t>
  </si>
  <si>
    <t>Social</t>
  </si>
  <si>
    <t>Masters Sweep</t>
  </si>
  <si>
    <t>Purchase 2X/-</t>
  </si>
  <si>
    <t>1 single scull</t>
  </si>
  <si>
    <t>4 sets sculling blades</t>
  </si>
  <si>
    <t>Peinert 1X/Vespoli MW 2X</t>
  </si>
  <si>
    <t>Erg Rental</t>
  </si>
  <si>
    <t>After sale of boats</t>
  </si>
  <si>
    <t>OpenSw</t>
  </si>
  <si>
    <t>Net Profit after depreciation and boat sales</t>
  </si>
  <si>
    <t>Sub total sculling</t>
  </si>
  <si>
    <t xml:space="preserve">Advertising </t>
  </si>
  <si>
    <t>After reserve for boats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</si>
</sst>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[$$-409]#,##0.00;[Red]\-[$$-409]#,##0.00"/>
    <numFmt numFmtId="167" formatCode="_(* #,##0_);_(* \(#,##0\);_(* &quot;-&quot;??_);_(@_)"/>
    <numFmt numFmtId="168" formatCode="&quot;$&quot;#,##0.00"/>
    <numFmt numFmtId="169" formatCode="&quot;$&quot;#,##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22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 wrapText="1"/>
    </xf>
    <xf numFmtId="164" fontId="0" fillId="0" borderId="0" xfId="0" applyNumberFormat="1"/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wrapText="1"/>
    </xf>
    <xf numFmtId="0" fontId="4" fillId="0" borderId="0" xfId="0" applyFont="1" applyAlignment="1">
      <alignment horizontal="left" indent="5"/>
    </xf>
    <xf numFmtId="0" fontId="0" fillId="0" borderId="0" xfId="0" applyAlignment="1">
      <alignment horizontal="left"/>
    </xf>
    <xf numFmtId="0" fontId="3" fillId="0" borderId="0" xfId="0" applyFont="1"/>
    <xf numFmtId="164" fontId="3" fillId="0" borderId="0" xfId="0" applyNumberFormat="1" applyFont="1"/>
    <xf numFmtId="165" fontId="0" fillId="0" borderId="0" xfId="2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2" applyNumberFormat="1" applyFont="1"/>
    <xf numFmtId="0" fontId="9" fillId="0" borderId="0" xfId="0" applyFont="1"/>
    <xf numFmtId="166" fontId="0" fillId="0" borderId="0" xfId="0" applyNumberFormat="1"/>
    <xf numFmtId="0" fontId="0" fillId="0" borderId="0" xfId="0" applyFont="1"/>
    <xf numFmtId="0" fontId="0" fillId="0" borderId="0" xfId="0" applyNumberFormat="1"/>
    <xf numFmtId="10" fontId="0" fillId="0" borderId="0" xfId="0" applyNumberFormat="1"/>
    <xf numFmtId="0" fontId="0" fillId="0" borderId="0" xfId="0" applyFill="1"/>
    <xf numFmtId="165" fontId="0" fillId="2" borderId="0" xfId="2" applyNumberFormat="1" applyFont="1" applyFill="1"/>
    <xf numFmtId="0" fontId="4" fillId="0" borderId="1" xfId="0" applyFont="1" applyBorder="1" applyAlignment="1">
      <alignment horizontal="left" indent="2"/>
    </xf>
    <xf numFmtId="0" fontId="4" fillId="0" borderId="2" xfId="0" applyFont="1" applyBorder="1"/>
    <xf numFmtId="0" fontId="4" fillId="0" borderId="3" xfId="0" applyFont="1" applyBorder="1"/>
    <xf numFmtId="164" fontId="0" fillId="2" borderId="0" xfId="0" applyNumberFormat="1" applyFill="1"/>
    <xf numFmtId="0" fontId="10" fillId="0" borderId="0" xfId="0" applyFont="1"/>
    <xf numFmtId="164" fontId="0" fillId="0" borderId="0" xfId="0" applyNumberFormat="1" applyFill="1"/>
    <xf numFmtId="44" fontId="0" fillId="0" borderId="0" xfId="2" applyNumberFormat="1" applyFont="1"/>
    <xf numFmtId="44" fontId="0" fillId="0" borderId="0" xfId="0" applyNumberFormat="1"/>
    <xf numFmtId="165" fontId="0" fillId="0" borderId="0" xfId="0" applyNumberFormat="1"/>
    <xf numFmtId="165" fontId="0" fillId="0" borderId="0" xfId="2" applyNumberFormat="1" applyFont="1" applyFill="1"/>
    <xf numFmtId="6" fontId="0" fillId="0" borderId="0" xfId="0" applyNumberFormat="1" applyFill="1"/>
    <xf numFmtId="0" fontId="12" fillId="0" borderId="0" xfId="0" applyFont="1"/>
    <xf numFmtId="1" fontId="0" fillId="0" borderId="0" xfId="0" applyNumberForma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7" xfId="0" applyBorder="1"/>
    <xf numFmtId="165" fontId="0" fillId="0" borderId="7" xfId="2" applyNumberFormat="1" applyFont="1" applyBorder="1"/>
    <xf numFmtId="6" fontId="0" fillId="0" borderId="7" xfId="0" applyNumberForma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0" fillId="0" borderId="8" xfId="0" applyBorder="1"/>
    <xf numFmtId="164" fontId="3" fillId="0" borderId="8" xfId="0" applyNumberFormat="1" applyFont="1" applyBorder="1"/>
    <xf numFmtId="165" fontId="3" fillId="0" borderId="8" xfId="0" applyNumberFormat="1" applyFont="1" applyBorder="1"/>
    <xf numFmtId="164" fontId="0" fillId="0" borderId="0" xfId="0" applyNumberFormat="1" applyBorder="1"/>
    <xf numFmtId="0" fontId="12" fillId="0" borderId="8" xfId="0" applyFont="1" applyBorder="1" applyAlignment="1">
      <alignment horizontal="right"/>
    </xf>
    <xf numFmtId="165" fontId="3" fillId="0" borderId="8" xfId="2" applyNumberFormat="1" applyFont="1" applyBorder="1"/>
    <xf numFmtId="165" fontId="3" fillId="0" borderId="9" xfId="2" applyNumberFormat="1" applyFont="1" applyBorder="1"/>
    <xf numFmtId="165" fontId="0" fillId="0" borderId="9" xfId="2" applyNumberFormat="1" applyFont="1" applyBorder="1"/>
    <xf numFmtId="0" fontId="13" fillId="0" borderId="0" xfId="0" applyFont="1"/>
    <xf numFmtId="0" fontId="0" fillId="0" borderId="8" xfId="0" applyBorder="1" applyAlignment="1">
      <alignment horizontal="right"/>
    </xf>
    <xf numFmtId="165" fontId="0" fillId="0" borderId="8" xfId="0" applyNumberFormat="1" applyBorder="1"/>
    <xf numFmtId="5" fontId="0" fillId="0" borderId="0" xfId="0" applyNumberFormat="1"/>
    <xf numFmtId="5" fontId="3" fillId="0" borderId="8" xfId="0" applyNumberFormat="1" applyFont="1" applyBorder="1"/>
    <xf numFmtId="165" fontId="3" fillId="0" borderId="0" xfId="0" applyNumberFormat="1" applyFont="1"/>
    <xf numFmtId="0" fontId="0" fillId="2" borderId="0" xfId="0" applyFill="1"/>
    <xf numFmtId="6" fontId="0" fillId="2" borderId="0" xfId="0" applyNumberFormat="1" applyFill="1"/>
    <xf numFmtId="167" fontId="0" fillId="0" borderId="0" xfId="1" applyNumberFormat="1" applyFont="1"/>
    <xf numFmtId="167" fontId="0" fillId="0" borderId="0" xfId="0" applyNumberFormat="1"/>
    <xf numFmtId="165" fontId="0" fillId="0" borderId="7" xfId="0" applyNumberFormat="1" applyBorder="1"/>
    <xf numFmtId="0" fontId="1" fillId="0" borderId="0" xfId="0" applyFont="1" applyAlignment="1">
      <alignment horizontal="right"/>
    </xf>
    <xf numFmtId="165" fontId="0" fillId="0" borderId="10" xfId="2" applyNumberFormat="1" applyFont="1" applyBorder="1"/>
    <xf numFmtId="165" fontId="3" fillId="0" borderId="10" xfId="2" applyNumberFormat="1" applyFont="1" applyBorder="1"/>
    <xf numFmtId="164" fontId="3" fillId="0" borderId="10" xfId="0" applyNumberFormat="1" applyFont="1" applyBorder="1"/>
    <xf numFmtId="168" fontId="0" fillId="0" borderId="10" xfId="2" applyNumberFormat="1" applyFont="1" applyBorder="1"/>
    <xf numFmtId="164" fontId="13" fillId="0" borderId="0" xfId="0" applyNumberFormat="1" applyFont="1"/>
    <xf numFmtId="0" fontId="13" fillId="0" borderId="0" xfId="0" applyFont="1" applyAlignment="1">
      <alignment horizontal="right"/>
    </xf>
    <xf numFmtId="164" fontId="3" fillId="0" borderId="0" xfId="0" applyNumberFormat="1" applyFont="1" applyBorder="1"/>
    <xf numFmtId="0" fontId="0" fillId="0" borderId="0" xfId="0" applyBorder="1"/>
    <xf numFmtId="41" fontId="0" fillId="0" borderId="0" xfId="2" applyNumberFormat="1" applyFont="1"/>
    <xf numFmtId="0" fontId="12" fillId="0" borderId="0" xfId="0" applyFont="1" applyBorder="1" applyAlignment="1">
      <alignment horizontal="center"/>
    </xf>
    <xf numFmtId="165" fontId="15" fillId="0" borderId="0" xfId="2" applyNumberFormat="1" applyFont="1" applyBorder="1"/>
    <xf numFmtId="0" fontId="4" fillId="0" borderId="0" xfId="0" applyFont="1" applyBorder="1"/>
    <xf numFmtId="165" fontId="4" fillId="0" borderId="0" xfId="2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4" xfId="0" applyFont="1" applyBorder="1" applyAlignment="1">
      <alignment horizontal="left" indent="2"/>
    </xf>
    <xf numFmtId="0" fontId="0" fillId="0" borderId="5" xfId="0" applyBorder="1"/>
    <xf numFmtId="0" fontId="0" fillId="0" borderId="6" xfId="0" applyBorder="1"/>
    <xf numFmtId="0" fontId="16" fillId="0" borderId="0" xfId="3"/>
    <xf numFmtId="165" fontId="17" fillId="0" borderId="0" xfId="2" applyNumberFormat="1" applyFont="1"/>
    <xf numFmtId="165" fontId="18" fillId="0" borderId="0" xfId="2" applyNumberFormat="1" applyFont="1"/>
    <xf numFmtId="0" fontId="17" fillId="0" borderId="0" xfId="0" applyFont="1"/>
    <xf numFmtId="0" fontId="17" fillId="0" borderId="7" xfId="0" applyFont="1" applyBorder="1"/>
    <xf numFmtId="165" fontId="0" fillId="3" borderId="0" xfId="2" applyNumberFormat="1" applyFont="1" applyFill="1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44" fontId="0" fillId="0" borderId="0" xfId="2" applyFont="1"/>
    <xf numFmtId="3" fontId="0" fillId="0" borderId="0" xfId="2" applyNumberFormat="1" applyFont="1"/>
    <xf numFmtId="165" fontId="3" fillId="0" borderId="0" xfId="2" applyNumberFormat="1" applyFont="1" applyBorder="1"/>
    <xf numFmtId="165" fontId="0" fillId="0" borderId="0" xfId="2" applyNumberFormat="1" applyFont="1" applyBorder="1"/>
    <xf numFmtId="43" fontId="12" fillId="0" borderId="0" xfId="0" applyNumberFormat="1" applyFont="1" applyBorder="1" applyAlignment="1">
      <alignment horizontal="center"/>
    </xf>
    <xf numFmtId="43" fontId="12" fillId="0" borderId="0" xfId="0" applyNumberFormat="1" applyFont="1" applyAlignment="1">
      <alignment horizontal="center"/>
    </xf>
    <xf numFmtId="43" fontId="0" fillId="0" borderId="0" xfId="1" applyNumberFormat="1" applyFont="1"/>
    <xf numFmtId="43" fontId="0" fillId="0" borderId="0" xfId="2" applyNumberFormat="1" applyFont="1"/>
    <xf numFmtId="43" fontId="0" fillId="0" borderId="0" xfId="0" applyNumberFormat="1"/>
    <xf numFmtId="167" fontId="0" fillId="0" borderId="0" xfId="2" applyNumberFormat="1" applyFont="1"/>
    <xf numFmtId="164" fontId="17" fillId="0" borderId="0" xfId="0" applyNumberFormat="1" applyFont="1"/>
    <xf numFmtId="169" fontId="0" fillId="0" borderId="0" xfId="0" applyNumberFormat="1"/>
    <xf numFmtId="165" fontId="17" fillId="0" borderId="8" xfId="2" applyNumberFormat="1" applyFont="1" applyBorder="1"/>
    <xf numFmtId="165" fontId="0" fillId="0" borderId="0" xfId="0" applyNumberFormat="1" applyBorder="1"/>
    <xf numFmtId="0" fontId="0" fillId="0" borderId="13" xfId="0" applyBorder="1"/>
    <xf numFmtId="0" fontId="0" fillId="0" borderId="13" xfId="0" applyBorder="1" applyAlignment="1">
      <alignment horizontal="right"/>
    </xf>
    <xf numFmtId="165" fontId="0" fillId="0" borderId="13" xfId="2" applyNumberFormat="1" applyFont="1" applyBorder="1"/>
    <xf numFmtId="164" fontId="0" fillId="0" borderId="13" xfId="0" applyNumberFormat="1" applyBorder="1"/>
    <xf numFmtId="0" fontId="0" fillId="0" borderId="14" xfId="0" applyBorder="1"/>
    <xf numFmtId="165" fontId="0" fillId="0" borderId="13" xfId="0" applyNumberFormat="1" applyBorder="1"/>
    <xf numFmtId="165" fontId="3" fillId="0" borderId="15" xfId="0" applyNumberFormat="1" applyFont="1" applyBorder="1"/>
    <xf numFmtId="164" fontId="0" fillId="3" borderId="0" xfId="0" applyNumberForma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7">
    <cellStyle name="Comma" xfId="1" builtinId="3"/>
    <cellStyle name="Currency" xfId="2" builtinId="4"/>
    <cellStyle name="Followed Hyperlink" xfId="4" builtinId="9" hidden="1"/>
    <cellStyle name="Followed Hyperlink" xfId="5" builtinId="9" hidden="1"/>
    <cellStyle name="Followed Hyperlink" xfId="6" builtinId="9" hidden="1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7"/>
  <sheetViews>
    <sheetView tabSelected="1" zoomScale="80" zoomScaleNormal="80" zoomScaleSheetLayoutView="100" zoomScalePageLayoutView="150" workbookViewId="0">
      <pane xSplit="7" ySplit="1" topLeftCell="I98" activePane="bottomRight" state="frozen"/>
      <selection pane="topRight" activeCell="H1" sqref="H1"/>
      <selection pane="bottomLeft" activeCell="A2" sqref="A2"/>
      <selection pane="bottomRight" activeCell="N114" sqref="N114"/>
    </sheetView>
  </sheetViews>
  <sheetFormatPr defaultColWidth="8.85546875" defaultRowHeight="15.95" customHeight="1" x14ac:dyDescent="0.25"/>
  <cols>
    <col min="1" max="1" width="17.5703125" customWidth="1"/>
    <col min="2" max="2" width="34" bestFit="1" customWidth="1"/>
    <col min="3" max="3" width="19.5703125" customWidth="1"/>
    <col min="4" max="4" width="10" customWidth="1"/>
    <col min="5" max="5" width="8.28515625" customWidth="1"/>
    <col min="6" max="6" width="14.28515625" customWidth="1"/>
    <col min="7" max="7" width="7.28515625" customWidth="1"/>
    <col min="8" max="8" width="12.42578125" customWidth="1"/>
    <col min="9" max="9" width="11.42578125" customWidth="1"/>
    <col min="10" max="10" width="10.42578125" customWidth="1"/>
    <col min="11" max="11" width="11.28515625" bestFit="1" customWidth="1"/>
    <col min="12" max="12" width="10.42578125" customWidth="1"/>
    <col min="13" max="13" width="10.42578125" bestFit="1" customWidth="1"/>
    <col min="14" max="14" width="11.28515625" customWidth="1"/>
    <col min="15" max="15" width="8.7109375" hidden="1" customWidth="1"/>
    <col min="16" max="16" width="10.85546875" bestFit="1" customWidth="1"/>
  </cols>
  <sheetData>
    <row r="1" spans="1:17" ht="15.95" customHeight="1" x14ac:dyDescent="0.25">
      <c r="A1" s="19" t="s">
        <v>356</v>
      </c>
      <c r="D1" s="2" t="s">
        <v>6</v>
      </c>
      <c r="E1" s="13"/>
      <c r="F1" s="21"/>
      <c r="G1" s="21"/>
      <c r="H1" s="46" t="s">
        <v>199</v>
      </c>
      <c r="I1" s="45" t="s">
        <v>200</v>
      </c>
      <c r="J1" s="45" t="s">
        <v>201</v>
      </c>
      <c r="K1" s="45" t="s">
        <v>139</v>
      </c>
      <c r="L1" s="45" t="s">
        <v>134</v>
      </c>
      <c r="M1" s="45" t="s">
        <v>202</v>
      </c>
      <c r="N1" s="45" t="s">
        <v>203</v>
      </c>
      <c r="O1" s="45" t="s">
        <v>349</v>
      </c>
      <c r="P1" s="45" t="s">
        <v>213</v>
      </c>
    </row>
    <row r="2" spans="1:17" ht="15.95" customHeight="1" x14ac:dyDescent="0.25">
      <c r="A2" s="60"/>
      <c r="B2" t="s">
        <v>257</v>
      </c>
      <c r="E2" s="13"/>
      <c r="F2" s="95">
        <f>48653+13000</f>
        <v>61653</v>
      </c>
      <c r="G2" s="41" t="s">
        <v>357</v>
      </c>
      <c r="H2" s="47"/>
      <c r="P2" s="52"/>
    </row>
    <row r="3" spans="1:17" ht="15.95" customHeight="1" x14ac:dyDescent="0.25">
      <c r="A3" s="60"/>
      <c r="E3" s="13"/>
      <c r="F3" s="21"/>
      <c r="G3" s="21"/>
      <c r="H3" s="47"/>
      <c r="P3" s="52"/>
    </row>
    <row r="4" spans="1:17" ht="15.95" customHeight="1" x14ac:dyDescent="0.25">
      <c r="A4" s="60"/>
      <c r="B4" t="s">
        <v>358</v>
      </c>
      <c r="C4">
        <v>100</v>
      </c>
      <c r="D4">
        <v>25</v>
      </c>
      <c r="E4" s="13">
        <f>D4*C4</f>
        <v>2500</v>
      </c>
      <c r="F4" s="21"/>
      <c r="G4" s="21"/>
      <c r="H4" s="48">
        <f>E4</f>
        <v>2500</v>
      </c>
      <c r="P4" s="52"/>
    </row>
    <row r="5" spans="1:17" ht="15.95" customHeight="1" x14ac:dyDescent="0.25">
      <c r="A5" s="60"/>
      <c r="B5" t="s">
        <v>359</v>
      </c>
      <c r="C5">
        <v>125</v>
      </c>
      <c r="D5">
        <v>70</v>
      </c>
      <c r="E5" s="13">
        <f>D5*C5</f>
        <v>8750</v>
      </c>
      <c r="F5" s="21"/>
      <c r="G5" s="21" t="s">
        <v>360</v>
      </c>
      <c r="H5" s="48">
        <f>E5</f>
        <v>8750</v>
      </c>
      <c r="P5" s="52"/>
    </row>
    <row r="6" spans="1:17" ht="15.95" customHeight="1" x14ac:dyDescent="0.25">
      <c r="B6" s="30" t="s">
        <v>31</v>
      </c>
      <c r="C6" s="42">
        <v>250</v>
      </c>
      <c r="D6" s="30">
        <v>40</v>
      </c>
      <c r="E6" s="37">
        <f>C6*D6</f>
        <v>10000</v>
      </c>
      <c r="F6" s="21"/>
      <c r="G6" s="21" t="s">
        <v>361</v>
      </c>
      <c r="H6" s="48">
        <v>0</v>
      </c>
      <c r="I6" s="21">
        <f>E6</f>
        <v>10000</v>
      </c>
      <c r="P6" s="62">
        <f>SUM(H6:N6)</f>
        <v>10000</v>
      </c>
      <c r="Q6" t="s">
        <v>249</v>
      </c>
    </row>
    <row r="7" spans="1:17" ht="15.95" customHeight="1" x14ac:dyDescent="0.25">
      <c r="B7" s="96" t="s">
        <v>338</v>
      </c>
      <c r="C7" s="42">
        <v>100</v>
      </c>
      <c r="D7" s="30">
        <v>17</v>
      </c>
      <c r="E7" s="97">
        <f>D7*C7</f>
        <v>1700</v>
      </c>
      <c r="F7" s="21"/>
      <c r="G7" s="21" t="s">
        <v>362</v>
      </c>
      <c r="H7" s="48">
        <v>0</v>
      </c>
      <c r="I7" s="21">
        <f>E7</f>
        <v>1700</v>
      </c>
      <c r="P7" s="62"/>
    </row>
    <row r="8" spans="1:17" ht="15.95" customHeight="1" x14ac:dyDescent="0.25">
      <c r="B8" s="22" t="s">
        <v>32</v>
      </c>
      <c r="C8" s="1">
        <v>100</v>
      </c>
      <c r="D8">
        <v>4</v>
      </c>
      <c r="E8" s="13">
        <f>C8*D8</f>
        <v>400</v>
      </c>
      <c r="F8" s="21"/>
      <c r="G8" s="21"/>
      <c r="H8" s="49">
        <v>0</v>
      </c>
      <c r="I8" s="1">
        <f>E8</f>
        <v>400</v>
      </c>
      <c r="P8" s="52"/>
    </row>
    <row r="9" spans="1:17" ht="15.95" customHeight="1" x14ac:dyDescent="0.25">
      <c r="A9" t="s">
        <v>8</v>
      </c>
      <c r="B9" t="s">
        <v>224</v>
      </c>
      <c r="C9" s="1">
        <v>130</v>
      </c>
      <c r="D9">
        <v>4</v>
      </c>
      <c r="E9" s="13">
        <f>D9*C9</f>
        <v>520</v>
      </c>
      <c r="F9" s="21"/>
      <c r="G9" s="21"/>
      <c r="H9" s="49">
        <v>0</v>
      </c>
      <c r="I9" s="1">
        <f>E9</f>
        <v>520</v>
      </c>
      <c r="P9" s="52"/>
    </row>
    <row r="10" spans="1:17" ht="15.95" customHeight="1" x14ac:dyDescent="0.25">
      <c r="B10" s="22" t="s">
        <v>353</v>
      </c>
      <c r="C10" s="1"/>
      <c r="E10" s="13"/>
      <c r="F10" s="91">
        <f>SUM(E4:E9)</f>
        <v>23870</v>
      </c>
      <c r="G10" s="21"/>
      <c r="H10" s="49"/>
      <c r="I10" s="1"/>
      <c r="P10" s="52"/>
    </row>
    <row r="11" spans="1:17" ht="15.95" customHeight="1" x14ac:dyDescent="0.25">
      <c r="B11" t="s">
        <v>238</v>
      </c>
      <c r="C11" s="1">
        <v>350</v>
      </c>
      <c r="D11" s="30">
        <v>18</v>
      </c>
      <c r="E11" s="13">
        <f>D11*C11</f>
        <v>6300</v>
      </c>
      <c r="F11" s="21"/>
      <c r="G11" s="21" t="s">
        <v>363</v>
      </c>
      <c r="H11" s="47"/>
      <c r="J11" s="1">
        <f>D11*C11</f>
        <v>6300</v>
      </c>
      <c r="P11" s="52"/>
    </row>
    <row r="12" spans="1:17" ht="15.95" customHeight="1" x14ac:dyDescent="0.25">
      <c r="B12" t="s">
        <v>235</v>
      </c>
      <c r="C12" s="1">
        <v>200</v>
      </c>
      <c r="D12">
        <v>12</v>
      </c>
      <c r="E12" s="13">
        <f>D12*C12</f>
        <v>2400</v>
      </c>
      <c r="F12" s="21"/>
      <c r="G12" s="21"/>
      <c r="H12" s="47"/>
      <c r="K12" s="1">
        <f>D12*C12</f>
        <v>2400</v>
      </c>
      <c r="L12" s="1"/>
      <c r="P12" s="52"/>
    </row>
    <row r="13" spans="1:17" ht="15.95" customHeight="1" x14ac:dyDescent="0.25">
      <c r="B13" t="s">
        <v>236</v>
      </c>
      <c r="C13" s="1">
        <v>200</v>
      </c>
      <c r="D13">
        <v>12</v>
      </c>
      <c r="E13" s="13">
        <f>D13*C13</f>
        <v>2400</v>
      </c>
      <c r="F13" s="21"/>
      <c r="G13" s="21"/>
      <c r="H13" s="47"/>
      <c r="K13" s="1">
        <f>D13*C13</f>
        <v>2400</v>
      </c>
      <c r="L13" s="1"/>
      <c r="P13" s="52"/>
    </row>
    <row r="14" spans="1:17" ht="15.95" customHeight="1" x14ac:dyDescent="0.25">
      <c r="B14" s="22" t="s">
        <v>339</v>
      </c>
      <c r="C14" s="42">
        <v>150</v>
      </c>
      <c r="D14">
        <v>4</v>
      </c>
      <c r="E14" s="13">
        <f>D14*C14</f>
        <v>600</v>
      </c>
      <c r="F14" s="21"/>
      <c r="G14" s="21" t="s">
        <v>364</v>
      </c>
      <c r="H14" s="49">
        <f>D14*50</f>
        <v>200</v>
      </c>
      <c r="I14" s="1">
        <f>((D14*C14)/3)*2</f>
        <v>400</v>
      </c>
      <c r="P14" s="52"/>
    </row>
    <row r="15" spans="1:17" ht="15.95" customHeight="1" x14ac:dyDescent="0.25">
      <c r="B15" s="22" t="s">
        <v>340</v>
      </c>
      <c r="C15" s="42">
        <v>300</v>
      </c>
      <c r="D15">
        <v>6</v>
      </c>
      <c r="E15" s="13">
        <f>D15*C15</f>
        <v>1800</v>
      </c>
      <c r="F15" s="21"/>
      <c r="G15" s="21"/>
      <c r="H15" s="49"/>
      <c r="I15" s="1"/>
      <c r="K15" s="13">
        <f>+E15</f>
        <v>1800</v>
      </c>
      <c r="L15" s="13"/>
      <c r="P15" s="52"/>
    </row>
    <row r="16" spans="1:17" ht="15.95" customHeight="1" x14ac:dyDescent="0.25">
      <c r="B16" s="22" t="s">
        <v>341</v>
      </c>
      <c r="C16" s="42">
        <v>40</v>
      </c>
      <c r="D16">
        <f>6*3</f>
        <v>18</v>
      </c>
      <c r="E16" s="13">
        <f>D16*C16*2</f>
        <v>1440</v>
      </c>
      <c r="F16" s="21"/>
      <c r="G16" s="21"/>
      <c r="H16" s="49"/>
      <c r="I16" s="1"/>
      <c r="K16" s="13">
        <f>+E16</f>
        <v>1440</v>
      </c>
      <c r="L16" s="13"/>
      <c r="P16" s="52"/>
    </row>
    <row r="17" spans="1:16" ht="15.95" customHeight="1" x14ac:dyDescent="0.25">
      <c r="B17" s="22" t="s">
        <v>377</v>
      </c>
      <c r="C17" s="42"/>
      <c r="F17" s="108">
        <f>SUM(E11:E16)</f>
        <v>14940</v>
      </c>
      <c r="G17" s="21"/>
      <c r="H17" s="49"/>
      <c r="I17" s="1"/>
      <c r="K17" s="13"/>
      <c r="L17" s="13"/>
      <c r="P17" s="52"/>
    </row>
    <row r="18" spans="1:16" ht="15.95" customHeight="1" x14ac:dyDescent="0.25">
      <c r="B18" s="23" t="s">
        <v>45</v>
      </c>
      <c r="C18" s="1"/>
      <c r="F18" s="20">
        <f>F17+F10</f>
        <v>38810</v>
      </c>
      <c r="G18" s="21"/>
      <c r="H18" s="50">
        <f>SUM(H4:H14)</f>
        <v>11450</v>
      </c>
      <c r="I18" s="20">
        <f>SUM(I6:I14)</f>
        <v>13020</v>
      </c>
      <c r="J18" s="20">
        <f>SUM(J6:J14)</f>
        <v>6300</v>
      </c>
      <c r="K18" s="20">
        <f>SUM(K12:K16)</f>
        <v>8040</v>
      </c>
      <c r="L18" s="20"/>
      <c r="P18" s="53">
        <f>+H18+I18+J18+K18</f>
        <v>38810</v>
      </c>
    </row>
    <row r="19" spans="1:16" ht="15.95" customHeight="1" x14ac:dyDescent="0.25">
      <c r="B19" s="23"/>
      <c r="C19" s="1"/>
      <c r="E19" s="13"/>
      <c r="F19" s="21"/>
      <c r="G19" s="21"/>
      <c r="H19" s="47"/>
      <c r="P19" s="52"/>
    </row>
    <row r="20" spans="1:16" ht="15.95" customHeight="1" x14ac:dyDescent="0.25">
      <c r="B20" t="s">
        <v>36</v>
      </c>
      <c r="E20" s="13"/>
      <c r="F20" s="21"/>
      <c r="G20" s="21"/>
      <c r="H20" s="47"/>
      <c r="P20" s="52"/>
    </row>
    <row r="21" spans="1:16" ht="15.95" customHeight="1" x14ac:dyDescent="0.25">
      <c r="B21" s="22" t="s">
        <v>131</v>
      </c>
      <c r="C21" s="21">
        <v>250</v>
      </c>
      <c r="D21">
        <v>10</v>
      </c>
      <c r="E21" s="13">
        <f t="shared" ref="E21:E26" si="0">D21*C21</f>
        <v>2500</v>
      </c>
      <c r="F21" s="21"/>
      <c r="G21" s="21"/>
      <c r="H21" s="47"/>
      <c r="J21" t="s">
        <v>8</v>
      </c>
      <c r="M21" s="13">
        <f>+E21+E22</f>
        <v>5000</v>
      </c>
      <c r="N21" s="13">
        <f>+E24+E25</f>
        <v>1930</v>
      </c>
      <c r="O21" s="13"/>
      <c r="P21" s="52"/>
    </row>
    <row r="22" spans="1:16" ht="15.95" customHeight="1" x14ac:dyDescent="0.25">
      <c r="B22" s="22" t="s">
        <v>132</v>
      </c>
      <c r="C22" s="21">
        <v>250</v>
      </c>
      <c r="D22">
        <v>10</v>
      </c>
      <c r="E22" s="13">
        <f t="shared" si="0"/>
        <v>2500</v>
      </c>
      <c r="F22" s="21"/>
      <c r="G22" s="21"/>
      <c r="H22" s="47"/>
      <c r="I22" t="s">
        <v>8</v>
      </c>
      <c r="J22" t="s">
        <v>8</v>
      </c>
      <c r="P22" s="52"/>
    </row>
    <row r="23" spans="1:16" ht="15.95" customHeight="1" x14ac:dyDescent="0.25">
      <c r="B23" s="22" t="s">
        <v>226</v>
      </c>
      <c r="C23" s="21">
        <v>100</v>
      </c>
      <c r="D23">
        <v>0</v>
      </c>
      <c r="E23" s="13">
        <f>D23*C23</f>
        <v>0</v>
      </c>
      <c r="F23" s="21"/>
      <c r="G23" s="21"/>
      <c r="H23" s="51">
        <f>+E23</f>
        <v>0</v>
      </c>
      <c r="P23" s="52"/>
    </row>
    <row r="24" spans="1:16" ht="15.95" customHeight="1" x14ac:dyDescent="0.25">
      <c r="B24" s="22" t="s">
        <v>37</v>
      </c>
      <c r="C24" s="21">
        <v>50</v>
      </c>
      <c r="D24">
        <f>12*3</f>
        <v>36</v>
      </c>
      <c r="E24" s="13">
        <f t="shared" si="0"/>
        <v>1800</v>
      </c>
      <c r="F24" s="21"/>
      <c r="G24" s="21" t="s">
        <v>365</v>
      </c>
      <c r="H24" s="47">
        <v>0</v>
      </c>
      <c r="P24" s="52"/>
    </row>
    <row r="25" spans="1:16" ht="15.95" customHeight="1" x14ac:dyDescent="0.25">
      <c r="B25" s="22" t="s">
        <v>228</v>
      </c>
      <c r="C25" s="21">
        <v>65</v>
      </c>
      <c r="D25">
        <v>2</v>
      </c>
      <c r="E25" s="13">
        <f t="shared" si="0"/>
        <v>130</v>
      </c>
      <c r="F25" s="21"/>
      <c r="G25" s="21" t="s">
        <v>365</v>
      </c>
      <c r="H25" s="47">
        <v>0</v>
      </c>
      <c r="P25" s="52"/>
    </row>
    <row r="26" spans="1:16" ht="15.95" customHeight="1" x14ac:dyDescent="0.25">
      <c r="B26" s="22" t="s">
        <v>134</v>
      </c>
      <c r="C26" s="41">
        <v>100</v>
      </c>
      <c r="D26">
        <v>12</v>
      </c>
      <c r="E26" s="13">
        <f t="shared" si="0"/>
        <v>1200</v>
      </c>
      <c r="F26" s="21"/>
      <c r="G26" s="21" t="s">
        <v>366</v>
      </c>
      <c r="H26" s="47"/>
      <c r="L26" s="13">
        <f>+E26</f>
        <v>1200</v>
      </c>
      <c r="P26" s="52"/>
    </row>
    <row r="27" spans="1:16" ht="15.95" customHeight="1" x14ac:dyDescent="0.25">
      <c r="B27" s="23" t="s">
        <v>48</v>
      </c>
      <c r="F27" s="20">
        <f>SUM(E21:E26)</f>
        <v>8130</v>
      </c>
      <c r="G27" s="21"/>
      <c r="H27" s="50">
        <f>SUM(H21:H26)</f>
        <v>0</v>
      </c>
      <c r="I27" s="78">
        <f>SUM(I21:I26)</f>
        <v>0</v>
      </c>
      <c r="L27" s="20">
        <f>SUM(L21:L26)</f>
        <v>1200</v>
      </c>
      <c r="M27" s="20">
        <f>SUM(M21:M26)</f>
        <v>5000</v>
      </c>
      <c r="N27" s="20">
        <f>SUM(N21:N26)</f>
        <v>1930</v>
      </c>
      <c r="O27" s="20">
        <f>SUM(O21:O26)</f>
        <v>0</v>
      </c>
      <c r="P27" s="53">
        <f>+H27+M27+N27+I27+L27+O27</f>
        <v>8130</v>
      </c>
    </row>
    <row r="28" spans="1:16" ht="15.95" customHeight="1" x14ac:dyDescent="0.25">
      <c r="B28" s="18" t="s">
        <v>8</v>
      </c>
      <c r="F28" s="21"/>
      <c r="G28" s="21"/>
      <c r="H28" s="50"/>
      <c r="P28" s="52"/>
    </row>
    <row r="29" spans="1:16" ht="15.95" customHeight="1" x14ac:dyDescent="0.25">
      <c r="B29" s="18"/>
      <c r="E29" s="20" t="s">
        <v>8</v>
      </c>
      <c r="F29" s="21"/>
      <c r="G29" s="21"/>
      <c r="H29" s="50"/>
      <c r="P29" s="52"/>
    </row>
    <row r="30" spans="1:16" ht="15.95" customHeight="1" x14ac:dyDescent="0.25">
      <c r="B30" s="23" t="s">
        <v>49</v>
      </c>
      <c r="E30" s="20"/>
      <c r="F30" s="24">
        <f>F27+F18</f>
        <v>46940</v>
      </c>
      <c r="G30" s="24"/>
      <c r="H30" s="50">
        <f>+H27+H18</f>
        <v>11450</v>
      </c>
      <c r="I30" s="20">
        <f>+I18+I27</f>
        <v>13020</v>
      </c>
      <c r="J30" s="20">
        <f>+J18</f>
        <v>6300</v>
      </c>
      <c r="K30" s="20">
        <f>+K18</f>
        <v>8040</v>
      </c>
      <c r="L30" s="20">
        <f>+L27</f>
        <v>1200</v>
      </c>
      <c r="M30" s="20">
        <f>+M27</f>
        <v>5000</v>
      </c>
      <c r="N30" s="20">
        <f>+N27</f>
        <v>1930</v>
      </c>
      <c r="O30" s="20">
        <f>O27</f>
        <v>0</v>
      </c>
      <c r="P30" s="53">
        <f>+H18+I18+J18+K18+H27+M27+N27+I27+L27+O27</f>
        <v>46940</v>
      </c>
    </row>
    <row r="31" spans="1:16" ht="15.95" customHeight="1" x14ac:dyDescent="0.25">
      <c r="B31" s="23"/>
      <c r="E31" s="20"/>
      <c r="F31" s="21" t="s">
        <v>8</v>
      </c>
      <c r="G31" s="21"/>
      <c r="H31" s="47"/>
      <c r="P31" s="61"/>
    </row>
    <row r="32" spans="1:16" ht="15.95" customHeight="1" x14ac:dyDescent="0.25">
      <c r="A32" s="60"/>
      <c r="E32" s="13"/>
      <c r="F32" s="21"/>
      <c r="G32" s="21"/>
      <c r="H32" s="46" t="s">
        <v>199</v>
      </c>
      <c r="I32" s="45" t="s">
        <v>200</v>
      </c>
      <c r="J32" s="45" t="s">
        <v>201</v>
      </c>
      <c r="K32" s="45" t="s">
        <v>139</v>
      </c>
      <c r="L32" s="45" t="s">
        <v>134</v>
      </c>
      <c r="M32" s="45" t="s">
        <v>202</v>
      </c>
      <c r="N32" s="45" t="s">
        <v>203</v>
      </c>
      <c r="O32" s="45" t="s">
        <v>351</v>
      </c>
      <c r="P32" s="56" t="s">
        <v>18</v>
      </c>
    </row>
    <row r="33" spans="2:16" ht="15.95" customHeight="1" x14ac:dyDescent="0.25">
      <c r="B33" t="s">
        <v>19</v>
      </c>
      <c r="E33" s="119">
        <v>15000</v>
      </c>
      <c r="F33" s="21"/>
      <c r="G33" s="21"/>
      <c r="H33" s="47"/>
      <c r="P33" s="52"/>
    </row>
    <row r="34" spans="2:16" ht="15.95" customHeight="1" x14ac:dyDescent="0.25">
      <c r="B34" t="s">
        <v>35</v>
      </c>
      <c r="E34" s="119">
        <v>5000</v>
      </c>
      <c r="F34" s="21"/>
      <c r="G34" s="21"/>
      <c r="H34" s="47"/>
      <c r="P34" s="52"/>
    </row>
    <row r="35" spans="2:16" ht="15.95" customHeight="1" x14ac:dyDescent="0.25">
      <c r="B35" t="s">
        <v>20</v>
      </c>
      <c r="E35" s="119">
        <v>4100</v>
      </c>
      <c r="F35" s="21"/>
      <c r="G35" s="21"/>
      <c r="H35" s="47"/>
      <c r="J35" t="s">
        <v>8</v>
      </c>
      <c r="P35" s="52"/>
    </row>
    <row r="36" spans="2:16" ht="15.95" customHeight="1" x14ac:dyDescent="0.25">
      <c r="B36" t="s">
        <v>21</v>
      </c>
      <c r="E36" s="13">
        <v>1000</v>
      </c>
      <c r="F36" s="21"/>
      <c r="G36" s="21"/>
      <c r="H36" s="47"/>
      <c r="P36" s="52"/>
    </row>
    <row r="37" spans="2:16" ht="15.95" customHeight="1" x14ac:dyDescent="0.25">
      <c r="B37" t="s">
        <v>367</v>
      </c>
      <c r="E37" s="13">
        <v>500</v>
      </c>
      <c r="F37" s="21"/>
      <c r="G37" s="21"/>
      <c r="H37" s="47"/>
      <c r="P37" s="52"/>
    </row>
    <row r="38" spans="2:16" ht="15.95" customHeight="1" x14ac:dyDescent="0.25">
      <c r="B38" t="s">
        <v>30</v>
      </c>
      <c r="E38" s="119">
        <v>1500</v>
      </c>
      <c r="F38" s="21"/>
      <c r="G38" s="21"/>
      <c r="H38" s="47"/>
      <c r="P38" s="52"/>
    </row>
    <row r="39" spans="2:16" ht="15.95" customHeight="1" x14ac:dyDescent="0.25">
      <c r="B39" t="s">
        <v>28</v>
      </c>
      <c r="E39" s="13">
        <v>350</v>
      </c>
      <c r="F39" s="21"/>
      <c r="G39" s="21"/>
      <c r="H39" s="47"/>
      <c r="P39" s="52"/>
    </row>
    <row r="40" spans="2:16" ht="15.95" customHeight="1" x14ac:dyDescent="0.25">
      <c r="B40" t="s">
        <v>29</v>
      </c>
      <c r="E40" s="119">
        <f>250+250+500</f>
        <v>1000</v>
      </c>
      <c r="F40" s="21"/>
      <c r="G40" s="21"/>
      <c r="H40" s="47"/>
      <c r="P40" s="52"/>
    </row>
    <row r="41" spans="2:16" ht="15.95" customHeight="1" x14ac:dyDescent="0.25">
      <c r="B41" t="s">
        <v>378</v>
      </c>
      <c r="E41" s="13">
        <v>500</v>
      </c>
      <c r="F41" s="21"/>
      <c r="G41" s="21"/>
      <c r="H41" s="47"/>
      <c r="P41" s="52"/>
    </row>
    <row r="42" spans="2:16" ht="15.95" customHeight="1" x14ac:dyDescent="0.25">
      <c r="B42" t="s">
        <v>347</v>
      </c>
      <c r="E42" s="13">
        <v>300</v>
      </c>
      <c r="F42" s="21"/>
      <c r="G42" s="21"/>
      <c r="H42" s="47"/>
      <c r="P42" s="52"/>
    </row>
    <row r="43" spans="2:16" ht="15.95" customHeight="1" x14ac:dyDescent="0.25">
      <c r="C43" s="19" t="s">
        <v>149</v>
      </c>
      <c r="E43" s="20">
        <f>SUM(E33:E42)</f>
        <v>29250</v>
      </c>
      <c r="F43" s="21"/>
      <c r="G43" s="21"/>
      <c r="H43" s="47"/>
      <c r="P43" s="52"/>
    </row>
    <row r="44" spans="2:16" ht="15.95" customHeight="1" x14ac:dyDescent="0.25">
      <c r="C44" s="19"/>
      <c r="E44" s="20"/>
      <c r="F44" s="21"/>
      <c r="G44" s="21"/>
      <c r="H44" s="47"/>
      <c r="P44" s="52"/>
    </row>
    <row r="45" spans="2:16" ht="15.95" customHeight="1" x14ac:dyDescent="0.25">
      <c r="B45" t="s">
        <v>205</v>
      </c>
      <c r="E45" s="13"/>
      <c r="F45" s="21"/>
      <c r="G45" s="21"/>
      <c r="H45" s="47">
        <f>+B99</f>
        <v>9600</v>
      </c>
      <c r="I45">
        <f>+C99</f>
        <v>14750</v>
      </c>
      <c r="J45">
        <f>+D99</f>
        <v>5500</v>
      </c>
      <c r="P45" s="57">
        <f>+H45+I45+J45</f>
        <v>29850</v>
      </c>
    </row>
    <row r="46" spans="2:16" ht="15.95" customHeight="1" x14ac:dyDescent="0.25">
      <c r="B46" t="s">
        <v>39</v>
      </c>
      <c r="E46" s="13"/>
      <c r="F46" s="21"/>
      <c r="G46" s="21"/>
      <c r="H46" s="47"/>
      <c r="P46" s="52"/>
    </row>
    <row r="47" spans="2:16" ht="15.95" customHeight="1" x14ac:dyDescent="0.25">
      <c r="B47" s="22" t="s">
        <v>40</v>
      </c>
      <c r="E47" s="13">
        <f>D48+D49+D50</f>
        <v>840</v>
      </c>
      <c r="F47" s="21"/>
      <c r="G47" s="21"/>
      <c r="H47" s="47"/>
      <c r="P47" s="52"/>
    </row>
    <row r="48" spans="2:16" ht="15.95" customHeight="1" x14ac:dyDescent="0.25">
      <c r="B48" s="22"/>
      <c r="C48" t="s">
        <v>128</v>
      </c>
      <c r="D48" s="21">
        <v>0</v>
      </c>
      <c r="E48" s="13"/>
      <c r="F48" s="21"/>
      <c r="G48" s="21"/>
      <c r="H48" s="47"/>
      <c r="N48" s="40">
        <f>+D48</f>
        <v>0</v>
      </c>
      <c r="O48" s="40"/>
      <c r="P48" s="52"/>
    </row>
    <row r="49" spans="1:16" ht="15.95" customHeight="1" x14ac:dyDescent="0.25">
      <c r="B49" s="22"/>
      <c r="C49" t="s">
        <v>368</v>
      </c>
      <c r="D49" s="21">
        <f>48*15</f>
        <v>720</v>
      </c>
      <c r="E49" s="13"/>
      <c r="F49" s="21"/>
      <c r="G49" s="21"/>
      <c r="H49" s="47"/>
      <c r="M49" s="40">
        <f>+D49</f>
        <v>720</v>
      </c>
      <c r="P49" s="52"/>
    </row>
    <row r="50" spans="1:16" ht="15.95" customHeight="1" x14ac:dyDescent="0.25">
      <c r="B50" s="22"/>
      <c r="C50" t="s">
        <v>134</v>
      </c>
      <c r="D50" s="21">
        <f>8*15</f>
        <v>120</v>
      </c>
      <c r="E50" s="13"/>
      <c r="F50" s="21"/>
      <c r="G50" s="21"/>
      <c r="H50" s="47"/>
      <c r="L50" s="40">
        <f>+D50</f>
        <v>120</v>
      </c>
      <c r="P50" s="52"/>
    </row>
    <row r="51" spans="1:16" ht="15.95" customHeight="1" x14ac:dyDescent="0.25">
      <c r="B51" s="22" t="s">
        <v>41</v>
      </c>
      <c r="E51" s="37">
        <f>D52+D53+D54+D55</f>
        <v>2311.3599999999997</v>
      </c>
      <c r="F51" s="21"/>
      <c r="G51" s="21"/>
      <c r="H51" s="47"/>
      <c r="K51" t="s">
        <v>8</v>
      </c>
      <c r="P51" s="52"/>
    </row>
    <row r="52" spans="1:16" ht="15.95" customHeight="1" x14ac:dyDescent="0.25">
      <c r="B52" s="2" t="s">
        <v>8</v>
      </c>
      <c r="C52" t="s">
        <v>128</v>
      </c>
      <c r="D52" s="41">
        <f>8*3*27.5</f>
        <v>660</v>
      </c>
      <c r="E52" s="37"/>
      <c r="F52" s="21"/>
      <c r="G52" s="21"/>
      <c r="H52" s="47"/>
      <c r="N52" s="40">
        <f>+D52</f>
        <v>660</v>
      </c>
      <c r="O52" s="40"/>
      <c r="P52" s="52"/>
    </row>
    <row r="53" spans="1:16" ht="15.95" customHeight="1" x14ac:dyDescent="0.25">
      <c r="A53" t="s">
        <v>8</v>
      </c>
      <c r="B53" s="22"/>
      <c r="C53" t="s">
        <v>129</v>
      </c>
      <c r="D53" s="21">
        <f>12*2*34.66</f>
        <v>831.83999999999992</v>
      </c>
      <c r="E53" s="37" t="s">
        <v>8</v>
      </c>
      <c r="F53" s="21"/>
      <c r="G53" s="21"/>
      <c r="H53" s="47"/>
      <c r="M53" s="40">
        <f>+D53</f>
        <v>831.83999999999992</v>
      </c>
      <c r="P53" s="52"/>
    </row>
    <row r="54" spans="1:16" ht="15.95" customHeight="1" x14ac:dyDescent="0.25">
      <c r="B54" s="22"/>
      <c r="C54" t="s">
        <v>134</v>
      </c>
      <c r="D54" s="21">
        <f>12*34.96</f>
        <v>419.52</v>
      </c>
      <c r="E54" s="37"/>
      <c r="F54" s="21"/>
      <c r="G54" s="21"/>
      <c r="H54" s="47"/>
      <c r="L54" s="40">
        <f>+D54</f>
        <v>419.52</v>
      </c>
      <c r="P54" s="52"/>
    </row>
    <row r="55" spans="1:16" ht="15.95" customHeight="1" x14ac:dyDescent="0.25">
      <c r="B55" s="22"/>
      <c r="C55" t="s">
        <v>373</v>
      </c>
      <c r="D55" s="21">
        <v>400</v>
      </c>
      <c r="E55" s="37"/>
      <c r="F55" s="21"/>
      <c r="G55" s="21"/>
      <c r="H55" s="70">
        <f>D55</f>
        <v>400</v>
      </c>
      <c r="L55" s="40"/>
      <c r="P55" s="52"/>
    </row>
    <row r="56" spans="1:16" ht="15.95" customHeight="1" x14ac:dyDescent="0.25">
      <c r="B56" s="22" t="s">
        <v>42</v>
      </c>
      <c r="E56" s="13">
        <f>D57+D58+D59+D60+D61</f>
        <v>6500</v>
      </c>
      <c r="F56" s="21"/>
      <c r="G56" s="21"/>
      <c r="H56" s="47"/>
      <c r="P56" s="52"/>
    </row>
    <row r="57" spans="1:16" ht="15.95" customHeight="1" x14ac:dyDescent="0.25">
      <c r="B57" s="22"/>
      <c r="C57" t="s">
        <v>128</v>
      </c>
      <c r="D57" s="21">
        <v>0</v>
      </c>
      <c r="E57" s="13"/>
      <c r="F57" s="21"/>
      <c r="G57" s="21"/>
      <c r="H57" s="47"/>
      <c r="N57" s="40">
        <f>+D57</f>
        <v>0</v>
      </c>
      <c r="O57" s="40"/>
      <c r="P57" s="52"/>
    </row>
    <row r="58" spans="1:16" ht="15.95" customHeight="1" x14ac:dyDescent="0.25">
      <c r="B58" s="22"/>
      <c r="C58" t="s">
        <v>139</v>
      </c>
      <c r="D58" s="21">
        <f>50*32</f>
        <v>1600</v>
      </c>
      <c r="E58" s="13"/>
      <c r="F58" s="21"/>
      <c r="G58" s="21"/>
      <c r="H58" s="47"/>
      <c r="K58" s="40">
        <f>+D58</f>
        <v>1600</v>
      </c>
      <c r="L58" s="40"/>
      <c r="P58" s="52"/>
    </row>
    <row r="59" spans="1:16" ht="15.95" customHeight="1" x14ac:dyDescent="0.25">
      <c r="B59" s="22"/>
      <c r="C59" t="s">
        <v>129</v>
      </c>
      <c r="D59" s="21">
        <f>24*50</f>
        <v>1200</v>
      </c>
      <c r="E59" s="13"/>
      <c r="F59" s="21"/>
      <c r="G59" s="21"/>
      <c r="H59" s="47"/>
      <c r="M59" s="40">
        <f>+D59</f>
        <v>1200</v>
      </c>
      <c r="P59" s="52"/>
    </row>
    <row r="60" spans="1:16" ht="15.95" customHeight="1" x14ac:dyDescent="0.25">
      <c r="B60" s="22"/>
      <c r="C60" t="s">
        <v>130</v>
      </c>
      <c r="D60" s="21">
        <f>8*50</f>
        <v>400</v>
      </c>
      <c r="E60" s="13"/>
      <c r="F60" s="21"/>
      <c r="G60" s="21"/>
      <c r="H60" s="47"/>
      <c r="L60" s="40">
        <f>+D60</f>
        <v>400</v>
      </c>
      <c r="P60" s="52"/>
    </row>
    <row r="61" spans="1:16" ht="15.95" customHeight="1" x14ac:dyDescent="0.25">
      <c r="B61" s="22">
        <f>150*3*6</f>
        <v>2700</v>
      </c>
      <c r="C61" t="s">
        <v>271</v>
      </c>
      <c r="D61" s="21">
        <f>(150*6*3)+(50*12)</f>
        <v>3300</v>
      </c>
      <c r="E61" s="13"/>
      <c r="F61" s="21"/>
      <c r="G61" s="21"/>
      <c r="H61" s="47"/>
      <c r="K61" s="40">
        <f>+D61</f>
        <v>3300</v>
      </c>
      <c r="L61" s="40"/>
      <c r="P61" s="52"/>
    </row>
    <row r="62" spans="1:16" ht="15.95" customHeight="1" x14ac:dyDescent="0.25">
      <c r="B62" s="22"/>
      <c r="D62" s="21"/>
      <c r="E62" s="13"/>
      <c r="F62" s="21"/>
      <c r="G62" s="21"/>
      <c r="H62" s="47"/>
      <c r="K62" s="40"/>
      <c r="L62" s="40"/>
      <c r="P62" s="52"/>
    </row>
    <row r="63" spans="1:16" s="112" customFormat="1" ht="15.95" customHeight="1" x14ac:dyDescent="0.25">
      <c r="B63" s="113" t="s">
        <v>207</v>
      </c>
      <c r="D63" s="114"/>
      <c r="E63" s="115">
        <f>SUM(E47:E61)</f>
        <v>9651.36</v>
      </c>
      <c r="F63" s="114"/>
      <c r="G63" s="114"/>
      <c r="H63" s="116">
        <f>SUM(H47:H62)</f>
        <v>400</v>
      </c>
      <c r="I63" s="117"/>
      <c r="K63" s="117">
        <f>SUM(K58:K61)</f>
        <v>4900</v>
      </c>
      <c r="L63" s="117">
        <f>SUM(L50:L60)</f>
        <v>939.52</v>
      </c>
      <c r="M63" s="117">
        <f>SUM(M49:M61)</f>
        <v>2751.84</v>
      </c>
      <c r="N63" s="117">
        <f>SUM(N48:N60)</f>
        <v>660</v>
      </c>
      <c r="O63" s="117">
        <v>0</v>
      </c>
      <c r="P63" s="118">
        <f>+K63+M63+N63+I63+L63+O63+H63</f>
        <v>9651.36</v>
      </c>
    </row>
    <row r="64" spans="1:16" ht="15.95" customHeight="1" x14ac:dyDescent="0.25">
      <c r="B64" s="22"/>
      <c r="D64" s="21"/>
      <c r="E64" s="13"/>
      <c r="F64" s="21"/>
      <c r="G64" s="21"/>
      <c r="H64" s="47"/>
      <c r="K64" s="40"/>
      <c r="L64" s="40"/>
      <c r="M64" s="40"/>
      <c r="N64" s="40"/>
      <c r="O64" s="40"/>
      <c r="P64" s="52"/>
    </row>
    <row r="65" spans="1:16" ht="15.95" customHeight="1" x14ac:dyDescent="0.25">
      <c r="B65" s="22" t="s">
        <v>138</v>
      </c>
      <c r="E65" s="37">
        <v>0</v>
      </c>
      <c r="F65" s="21"/>
      <c r="G65" s="21"/>
      <c r="H65" s="47"/>
      <c r="P65" s="52"/>
    </row>
    <row r="66" spans="1:16" ht="15.95" customHeight="1" x14ac:dyDescent="0.25">
      <c r="B66" s="22" t="s">
        <v>43</v>
      </c>
      <c r="C66" t="s">
        <v>346</v>
      </c>
      <c r="E66" s="13">
        <v>2000</v>
      </c>
      <c r="F66" s="21"/>
      <c r="G66" s="21"/>
      <c r="H66" s="47"/>
      <c r="I66" s="109">
        <f>0.2*$E$66</f>
        <v>400</v>
      </c>
      <c r="K66" s="109">
        <f t="shared" ref="K66:N66" si="1">0.2*$E$66</f>
        <v>400</v>
      </c>
      <c r="L66" s="109">
        <f t="shared" si="1"/>
        <v>400</v>
      </c>
      <c r="M66" s="109">
        <f t="shared" si="1"/>
        <v>400</v>
      </c>
      <c r="N66" s="109">
        <f t="shared" si="1"/>
        <v>400</v>
      </c>
      <c r="P66" s="110">
        <f>SUM(H66:N66)</f>
        <v>2000</v>
      </c>
    </row>
    <row r="67" spans="1:16" ht="15.95" customHeight="1" x14ac:dyDescent="0.25">
      <c r="B67" s="22" t="s">
        <v>46</v>
      </c>
      <c r="E67" s="13">
        <v>1000</v>
      </c>
      <c r="F67" s="21"/>
      <c r="G67" s="21"/>
      <c r="H67" s="47"/>
      <c r="K67" s="13">
        <f>0.25*$E$67</f>
        <v>250</v>
      </c>
      <c r="L67" s="13">
        <f t="shared" ref="L67:N67" si="2">0.25*$E$67</f>
        <v>250</v>
      </c>
      <c r="M67" s="13">
        <f t="shared" si="2"/>
        <v>250</v>
      </c>
      <c r="N67" s="13">
        <f t="shared" si="2"/>
        <v>250</v>
      </c>
      <c r="P67" s="110">
        <f>SUM(H67:N67)</f>
        <v>1000</v>
      </c>
    </row>
    <row r="68" spans="1:16" ht="15.95" customHeight="1" x14ac:dyDescent="0.25">
      <c r="B68" s="22" t="s">
        <v>208</v>
      </c>
      <c r="E68" s="13">
        <v>1000</v>
      </c>
      <c r="F68" s="21"/>
      <c r="G68" s="21"/>
      <c r="H68" s="47"/>
      <c r="K68" s="13">
        <f>0.25*E68</f>
        <v>250</v>
      </c>
      <c r="L68" s="13">
        <f>0.25*E68</f>
        <v>250</v>
      </c>
      <c r="M68" s="13">
        <f>0.25*E68</f>
        <v>250</v>
      </c>
      <c r="N68" s="13">
        <f>0.25*E68</f>
        <v>250</v>
      </c>
      <c r="O68" s="13">
        <v>0</v>
      </c>
      <c r="P68" s="54">
        <f>+K68+M68+N68+L68</f>
        <v>1000</v>
      </c>
    </row>
    <row r="69" spans="1:16" ht="15.95" customHeight="1" x14ac:dyDescent="0.25">
      <c r="B69" s="22"/>
      <c r="E69" s="13"/>
      <c r="F69" s="21"/>
      <c r="G69" s="21"/>
      <c r="H69" s="47"/>
      <c r="P69" s="52"/>
    </row>
    <row r="70" spans="1:16" ht="15.95" customHeight="1" x14ac:dyDescent="0.25">
      <c r="B70" s="22"/>
      <c r="C70" s="19" t="s">
        <v>148</v>
      </c>
      <c r="E70" s="20">
        <f>SUM(E47:E68)-E63</f>
        <v>13651.36</v>
      </c>
      <c r="F70" s="21"/>
      <c r="G70" s="21"/>
      <c r="H70" s="47">
        <f>+H45+H63</f>
        <v>10000</v>
      </c>
      <c r="I70" s="111">
        <f>+I45+I63+I66</f>
        <v>15150</v>
      </c>
      <c r="J70" s="79">
        <f>+J45</f>
        <v>5500</v>
      </c>
      <c r="K70" s="40">
        <f>+K68+K63+K66+K67</f>
        <v>5800</v>
      </c>
      <c r="L70" s="40">
        <f>+L68+L63+L66+L67</f>
        <v>1839.52</v>
      </c>
      <c r="M70" s="40">
        <f>+M68+M63+M66+M67</f>
        <v>3651.84</v>
      </c>
      <c r="N70" s="40">
        <f>+N68+N63+N66+N67</f>
        <v>1560</v>
      </c>
      <c r="O70" s="40">
        <f>O68+O63</f>
        <v>0</v>
      </c>
      <c r="P70" s="54">
        <f>SUM(H70:N70)</f>
        <v>43501.36</v>
      </c>
    </row>
    <row r="71" spans="1:16" ht="15.95" customHeight="1" x14ac:dyDescent="0.25">
      <c r="B71" s="22"/>
      <c r="C71" t="s">
        <v>150</v>
      </c>
      <c r="D71" s="13">
        <f>E47+E51+D57+D59+D60+E66+(E65*0.67)+(E67*0.67)</f>
        <v>7421.36</v>
      </c>
      <c r="E71" s="13"/>
      <c r="F71" s="21"/>
      <c r="G71" s="21"/>
      <c r="H71" s="47"/>
      <c r="P71" s="52"/>
    </row>
    <row r="72" spans="1:16" ht="15.95" customHeight="1" x14ac:dyDescent="0.25">
      <c r="B72" s="22"/>
      <c r="C72" t="s">
        <v>151</v>
      </c>
      <c r="D72" s="13">
        <f>D58+D61+(E65*0.33)+(E67*0.33)</f>
        <v>5230</v>
      </c>
      <c r="E72" s="13"/>
      <c r="F72" s="21"/>
      <c r="G72" s="21"/>
      <c r="H72" s="47"/>
      <c r="P72" s="54"/>
    </row>
    <row r="73" spans="1:16" ht="15.95" customHeight="1" x14ac:dyDescent="0.25">
      <c r="B73" s="23" t="s">
        <v>50</v>
      </c>
      <c r="E73" s="20" t="s">
        <v>8</v>
      </c>
      <c r="F73" s="24">
        <f>E70+E43</f>
        <v>42901.36</v>
      </c>
      <c r="G73" s="24"/>
      <c r="H73" s="47" t="s">
        <v>8</v>
      </c>
      <c r="I73" s="79" t="s">
        <v>8</v>
      </c>
      <c r="J73" s="79" t="s">
        <v>8</v>
      </c>
      <c r="P73" s="52"/>
    </row>
    <row r="74" spans="1:16" ht="15.95" customHeight="1" x14ac:dyDescent="0.25">
      <c r="B74" s="23"/>
      <c r="E74" s="20"/>
      <c r="F74" s="21"/>
      <c r="G74" s="21"/>
      <c r="H74" s="47"/>
      <c r="P74" s="52"/>
    </row>
    <row r="75" spans="1:16" ht="15.95" customHeight="1" x14ac:dyDescent="0.25">
      <c r="B75" s="23" t="s">
        <v>52</v>
      </c>
      <c r="E75" s="13"/>
      <c r="F75" s="24">
        <f>F30-F73</f>
        <v>4038.6399999999994</v>
      </c>
      <c r="G75" s="24"/>
      <c r="H75" s="50">
        <f t="shared" ref="H75:O75" si="3">+H30-H70</f>
        <v>1450</v>
      </c>
      <c r="I75" s="78">
        <f t="shared" si="3"/>
        <v>-2130</v>
      </c>
      <c r="J75" s="78">
        <f t="shared" si="3"/>
        <v>800</v>
      </c>
      <c r="K75" s="78">
        <f t="shared" si="3"/>
        <v>2240</v>
      </c>
      <c r="L75" s="78">
        <f t="shared" si="3"/>
        <v>-639.52</v>
      </c>
      <c r="M75" s="78">
        <f t="shared" si="3"/>
        <v>1348.1599999999999</v>
      </c>
      <c r="N75" s="78">
        <f t="shared" si="3"/>
        <v>370</v>
      </c>
      <c r="O75" s="78">
        <f t="shared" si="3"/>
        <v>0</v>
      </c>
      <c r="P75" s="53">
        <f>+H75+I75+J75+K75+M75+N75+L75+O75</f>
        <v>3438.64</v>
      </c>
    </row>
    <row r="76" spans="1:16" ht="15.95" customHeight="1" x14ac:dyDescent="0.25">
      <c r="B76" s="23"/>
      <c r="C76" t="s">
        <v>210</v>
      </c>
      <c r="D76" s="21">
        <v>0</v>
      </c>
      <c r="E76" s="13"/>
      <c r="F76" s="58">
        <f>+D76</f>
        <v>0</v>
      </c>
      <c r="G76" s="100"/>
      <c r="H76" s="55"/>
      <c r="I76" s="13" t="s">
        <v>8</v>
      </c>
      <c r="J76" s="13"/>
      <c r="K76" s="40"/>
      <c r="L76" s="40"/>
      <c r="M76" s="40"/>
      <c r="N76" s="40"/>
      <c r="O76" s="40"/>
      <c r="P76" s="53">
        <f>+P75+D76</f>
        <v>3438.64</v>
      </c>
    </row>
    <row r="77" spans="1:16" ht="15.95" customHeight="1" x14ac:dyDescent="0.25">
      <c r="B77" s="23"/>
      <c r="D77" s="21"/>
      <c r="E77" s="13"/>
      <c r="F77" s="58"/>
      <c r="G77" s="100"/>
      <c r="H77" s="55"/>
      <c r="I77" s="13"/>
      <c r="J77" s="13"/>
      <c r="K77" s="40"/>
      <c r="L77" s="40"/>
      <c r="M77" s="40"/>
      <c r="N77" s="40"/>
      <c r="O77" s="40"/>
      <c r="P77" s="53"/>
    </row>
    <row r="78" spans="1:16" ht="15.95" customHeight="1" x14ac:dyDescent="0.25">
      <c r="A78" s="23"/>
      <c r="B78" s="23" t="s">
        <v>211</v>
      </c>
      <c r="D78" s="21">
        <v>8000</v>
      </c>
      <c r="E78" s="13"/>
      <c r="F78" s="58">
        <f>-D78</f>
        <v>-8000</v>
      </c>
      <c r="G78" s="100"/>
      <c r="H78" s="55"/>
      <c r="I78" s="63">
        <f>-0.65*D78</f>
        <v>-5200</v>
      </c>
      <c r="J78" s="63" t="s">
        <v>8</v>
      </c>
      <c r="K78" s="40">
        <f>-0.25*D78</f>
        <v>-2000</v>
      </c>
      <c r="L78" s="40"/>
      <c r="N78" s="40">
        <f>-0.1*D78</f>
        <v>-800</v>
      </c>
      <c r="O78" s="40"/>
      <c r="P78" s="64">
        <f>-D78</f>
        <v>-8000</v>
      </c>
    </row>
    <row r="79" spans="1:16" ht="15.95" customHeight="1" x14ac:dyDescent="0.25">
      <c r="A79" s="23"/>
      <c r="B79" s="23"/>
      <c r="D79" s="21"/>
      <c r="E79" s="13"/>
      <c r="F79" s="58"/>
      <c r="G79" s="100"/>
      <c r="H79" s="55"/>
      <c r="I79" s="13"/>
      <c r="J79" s="13"/>
      <c r="K79" s="40"/>
      <c r="L79" s="40"/>
      <c r="M79" s="40"/>
      <c r="N79" s="40"/>
      <c r="O79" s="40"/>
      <c r="P79" s="53"/>
    </row>
    <row r="80" spans="1:16" ht="15.95" customHeight="1" x14ac:dyDescent="0.25">
      <c r="A80" s="23"/>
      <c r="B80" s="23" t="s">
        <v>274</v>
      </c>
      <c r="D80" s="21"/>
      <c r="E80" s="13"/>
      <c r="F80" s="58">
        <f>+F75++F76+F78</f>
        <v>-3961.3600000000006</v>
      </c>
      <c r="G80" s="100"/>
      <c r="H80" s="20">
        <f>+H75+H76-H78</f>
        <v>1450</v>
      </c>
      <c r="I80" s="20">
        <f>+I75+I78</f>
        <v>-7330</v>
      </c>
      <c r="J80" s="20">
        <f>+J75</f>
        <v>800</v>
      </c>
      <c r="K80" s="20">
        <f>+K75+K76+K78</f>
        <v>240</v>
      </c>
      <c r="L80" s="20">
        <f>+L75+L76+L78</f>
        <v>-639.52</v>
      </c>
      <c r="M80" s="20">
        <f>+M75+M76+M78</f>
        <v>1348.1599999999999</v>
      </c>
      <c r="N80" s="20">
        <f>+N75+N76+N78</f>
        <v>-430</v>
      </c>
      <c r="O80" s="20">
        <f>O75-O78</f>
        <v>0</v>
      </c>
      <c r="P80" s="53">
        <f>+P76+P78</f>
        <v>-4561.3600000000006</v>
      </c>
    </row>
    <row r="81" spans="1:9" ht="15.95" customHeight="1" x14ac:dyDescent="0.25">
      <c r="E81" s="13"/>
      <c r="F81" s="59"/>
      <c r="G81" s="101"/>
    </row>
    <row r="82" spans="1:9" ht="15.95" customHeight="1" x14ac:dyDescent="0.25">
      <c r="B82" t="s">
        <v>369</v>
      </c>
      <c r="E82" s="13">
        <v>14000</v>
      </c>
      <c r="F82" s="59"/>
      <c r="G82" s="101"/>
    </row>
    <row r="83" spans="1:9" ht="15.95" customHeight="1" x14ac:dyDescent="0.25">
      <c r="B83" t="s">
        <v>370</v>
      </c>
      <c r="E83" s="13">
        <v>6000</v>
      </c>
      <c r="F83" s="59"/>
      <c r="G83" s="101"/>
    </row>
    <row r="84" spans="1:9" ht="15.95" customHeight="1" x14ac:dyDescent="0.25">
      <c r="B84" t="s">
        <v>371</v>
      </c>
      <c r="E84" s="13">
        <v>2000</v>
      </c>
      <c r="F84" s="59"/>
      <c r="G84" s="101"/>
    </row>
    <row r="85" spans="1:9" ht="15.95" customHeight="1" x14ac:dyDescent="0.25">
      <c r="B85" s="19" t="s">
        <v>51</v>
      </c>
      <c r="E85" s="20">
        <f>SUM(E82:E83)</f>
        <v>20000</v>
      </c>
      <c r="F85" s="59"/>
      <c r="G85" s="101"/>
    </row>
    <row r="86" spans="1:9" ht="15.95" customHeight="1" x14ac:dyDescent="0.25">
      <c r="B86" t="s">
        <v>352</v>
      </c>
      <c r="C86" t="s">
        <v>372</v>
      </c>
      <c r="E86" s="20">
        <v>3500</v>
      </c>
      <c r="F86" s="59"/>
      <c r="G86" s="101"/>
    </row>
    <row r="87" spans="1:9" ht="15.95" customHeight="1" x14ac:dyDescent="0.25">
      <c r="A87" s="19"/>
      <c r="B87" s="19"/>
      <c r="E87" s="13"/>
    </row>
    <row r="88" spans="1:9" ht="15.95" customHeight="1" x14ac:dyDescent="0.25">
      <c r="B88" t="s">
        <v>256</v>
      </c>
      <c r="E88" s="13"/>
      <c r="F88" s="58">
        <f>71000+F75-E85-E86</f>
        <v>51538.64</v>
      </c>
      <c r="G88" s="100"/>
    </row>
    <row r="89" spans="1:9" ht="15.95" customHeight="1" x14ac:dyDescent="0.25">
      <c r="A89" s="43"/>
      <c r="B89" s="23" t="s">
        <v>187</v>
      </c>
      <c r="C89" s="22" t="s">
        <v>188</v>
      </c>
      <c r="D89" s="22" t="s">
        <v>189</v>
      </c>
      <c r="E89" s="13"/>
      <c r="F89" s="21"/>
      <c r="G89" s="21"/>
    </row>
    <row r="90" spans="1:9" ht="15.95" customHeight="1" x14ac:dyDescent="0.25">
      <c r="A90" s="30" t="s">
        <v>251</v>
      </c>
      <c r="B90" s="30">
        <v>4000</v>
      </c>
      <c r="C90" s="30">
        <v>5500</v>
      </c>
      <c r="D90" s="30">
        <v>5500</v>
      </c>
      <c r="E90" s="37">
        <f>+SUM(B90:D90)</f>
        <v>15000</v>
      </c>
      <c r="F90" s="13" t="s">
        <v>8</v>
      </c>
      <c r="G90" s="13"/>
      <c r="H90" s="30" t="s">
        <v>8</v>
      </c>
      <c r="I90" s="98">
        <f>D90/19</f>
        <v>289.4736842105263</v>
      </c>
    </row>
    <row r="91" spans="1:9" ht="15.95" customHeight="1" x14ac:dyDescent="0.25">
      <c r="A91" t="s">
        <v>255</v>
      </c>
      <c r="C91">
        <v>5000</v>
      </c>
      <c r="D91" t="s">
        <v>8</v>
      </c>
      <c r="E91" s="13">
        <f t="shared" ref="E91:E96" si="4">SUM(B91:D91)</f>
        <v>5000</v>
      </c>
      <c r="F91" s="13" t="s">
        <v>8</v>
      </c>
      <c r="G91" s="13"/>
    </row>
    <row r="92" spans="1:9" ht="15.95" customHeight="1" x14ac:dyDescent="0.25">
      <c r="A92" t="s">
        <v>252</v>
      </c>
      <c r="B92">
        <v>1000</v>
      </c>
      <c r="C92">
        <v>2500</v>
      </c>
      <c r="D92" t="s">
        <v>8</v>
      </c>
      <c r="E92" s="13">
        <v>3500</v>
      </c>
      <c r="F92" s="13" t="s">
        <v>8</v>
      </c>
      <c r="G92" s="13"/>
    </row>
    <row r="93" spans="1:9" ht="15.95" customHeight="1" x14ac:dyDescent="0.25">
      <c r="A93" t="s">
        <v>190</v>
      </c>
      <c r="B93">
        <v>250</v>
      </c>
      <c r="C93">
        <v>750</v>
      </c>
      <c r="E93" s="13">
        <f t="shared" si="4"/>
        <v>1000</v>
      </c>
      <c r="F93" s="13" t="s">
        <v>8</v>
      </c>
      <c r="G93" s="13"/>
    </row>
    <row r="94" spans="1:9" ht="15.95" customHeight="1" x14ac:dyDescent="0.25">
      <c r="A94" t="s">
        <v>253</v>
      </c>
      <c r="B94">
        <v>500</v>
      </c>
      <c r="E94" s="13">
        <f t="shared" si="4"/>
        <v>500</v>
      </c>
      <c r="F94" s="13" t="s">
        <v>8</v>
      </c>
      <c r="G94" s="13"/>
    </row>
    <row r="95" spans="1:9" ht="15.95" customHeight="1" x14ac:dyDescent="0.25">
      <c r="A95" t="s">
        <v>192</v>
      </c>
      <c r="B95">
        <v>1500</v>
      </c>
      <c r="E95" s="13">
        <f t="shared" si="4"/>
        <v>1500</v>
      </c>
      <c r="F95" s="13" t="s">
        <v>8</v>
      </c>
      <c r="G95" s="13"/>
    </row>
    <row r="96" spans="1:9" ht="15.95" customHeight="1" x14ac:dyDescent="0.25">
      <c r="A96" t="s">
        <v>254</v>
      </c>
      <c r="B96">
        <v>350</v>
      </c>
      <c r="E96" s="13">
        <f t="shared" si="4"/>
        <v>350</v>
      </c>
      <c r="F96" s="13" t="s">
        <v>8</v>
      </c>
      <c r="G96" s="13"/>
    </row>
    <row r="97" spans="1:16" ht="15.95" customHeight="1" x14ac:dyDescent="0.25">
      <c r="A97" t="s">
        <v>348</v>
      </c>
      <c r="B97">
        <v>1000</v>
      </c>
      <c r="E97" s="13">
        <v>1000</v>
      </c>
      <c r="F97" s="13" t="s">
        <v>8</v>
      </c>
      <c r="G97" s="13"/>
    </row>
    <row r="98" spans="1:16" ht="15.95" customHeight="1" x14ac:dyDescent="0.25">
      <c r="A98" t="s">
        <v>258</v>
      </c>
      <c r="B98">
        <v>1000</v>
      </c>
      <c r="C98">
        <v>1000</v>
      </c>
      <c r="D98" t="s">
        <v>8</v>
      </c>
      <c r="E98" s="13">
        <v>2000</v>
      </c>
      <c r="F98" s="13" t="s">
        <v>8</v>
      </c>
      <c r="G98" s="13"/>
    </row>
    <row r="99" spans="1:16" ht="15.95" customHeight="1" x14ac:dyDescent="0.25">
      <c r="A99" s="22"/>
      <c r="B99">
        <f>+SUM(B90:B98)</f>
        <v>9600</v>
      </c>
      <c r="C99">
        <f>+SUM(C90:C98)</f>
        <v>14750</v>
      </c>
      <c r="D99">
        <f>+SUM(D90:D98)</f>
        <v>5500</v>
      </c>
      <c r="E99" s="13">
        <f>SUM(E90:E98)</f>
        <v>29850</v>
      </c>
      <c r="F99" s="21" t="s">
        <v>8</v>
      </c>
      <c r="G99" s="21"/>
    </row>
    <row r="100" spans="1:16" ht="15.95" customHeight="1" x14ac:dyDescent="0.25">
      <c r="A100" s="22"/>
      <c r="E100" s="13"/>
      <c r="F100" s="21"/>
      <c r="G100" s="21"/>
    </row>
    <row r="101" spans="1:16" ht="15.95" customHeight="1" x14ac:dyDescent="0.25">
      <c r="A101" t="s">
        <v>275</v>
      </c>
      <c r="B101" s="44">
        <f>B99/(D6+D8+D9+D24)</f>
        <v>114.28571428571429</v>
      </c>
      <c r="E101" s="13"/>
      <c r="F101" s="21"/>
      <c r="G101" s="21"/>
    </row>
    <row r="102" spans="1:16" ht="15.95" customHeight="1" x14ac:dyDescent="0.25">
      <c r="A102" t="s">
        <v>276</v>
      </c>
      <c r="B102" s="44">
        <f>B99/(D6+D8+D9+D13+D24)</f>
        <v>100</v>
      </c>
      <c r="E102" s="13"/>
      <c r="F102" s="21"/>
      <c r="G102" s="21"/>
    </row>
    <row r="103" spans="1:16" ht="15.95" customHeight="1" x14ac:dyDescent="0.25">
      <c r="E103" s="13"/>
      <c r="F103" s="21"/>
      <c r="G103" s="21"/>
    </row>
    <row r="104" spans="1:16" ht="15.95" customHeight="1" x14ac:dyDescent="0.4">
      <c r="E104" s="13"/>
      <c r="F104" s="82" t="s">
        <v>240</v>
      </c>
      <c r="G104" s="82"/>
      <c r="H104" s="81" t="s">
        <v>199</v>
      </c>
      <c r="I104" s="45" t="s">
        <v>200</v>
      </c>
      <c r="J104" s="45" t="s">
        <v>201</v>
      </c>
      <c r="K104" s="45" t="s">
        <v>139</v>
      </c>
      <c r="L104" s="45" t="s">
        <v>134</v>
      </c>
      <c r="M104" s="45" t="s">
        <v>202</v>
      </c>
      <c r="N104" s="45" t="s">
        <v>375</v>
      </c>
      <c r="O104" s="45" t="s">
        <v>350</v>
      </c>
      <c r="P104" s="45" t="s">
        <v>213</v>
      </c>
    </row>
    <row r="105" spans="1:16" ht="15.95" customHeight="1" x14ac:dyDescent="0.4">
      <c r="E105" s="13"/>
      <c r="F105" s="82"/>
      <c r="G105" s="82"/>
      <c r="H105" s="102"/>
      <c r="I105" s="103"/>
      <c r="J105" s="103"/>
      <c r="K105" s="103"/>
      <c r="L105" s="103"/>
      <c r="M105" s="103"/>
      <c r="N105" s="103"/>
      <c r="O105" s="103"/>
      <c r="P105" s="103"/>
    </row>
    <row r="106" spans="1:16" ht="15.95" customHeight="1" x14ac:dyDescent="0.25">
      <c r="E106" s="13"/>
      <c r="F106" s="21" t="s">
        <v>239</v>
      </c>
      <c r="G106" s="21"/>
      <c r="H106" s="68">
        <f>+H30</f>
        <v>11450</v>
      </c>
      <c r="I106" s="107">
        <f t="shared" ref="I106:O106" si="5">+I30</f>
        <v>13020</v>
      </c>
      <c r="J106" s="107">
        <f t="shared" si="5"/>
        <v>6300</v>
      </c>
      <c r="K106" s="107">
        <f t="shared" si="5"/>
        <v>8040</v>
      </c>
      <c r="L106" s="107">
        <f t="shared" si="5"/>
        <v>1200</v>
      </c>
      <c r="M106" s="107">
        <f t="shared" si="5"/>
        <v>5000</v>
      </c>
      <c r="N106" s="107">
        <f t="shared" si="5"/>
        <v>1930</v>
      </c>
      <c r="O106" s="104">
        <f t="shared" si="5"/>
        <v>0</v>
      </c>
      <c r="P106" s="107">
        <f>+P30</f>
        <v>46940</v>
      </c>
    </row>
    <row r="107" spans="1:16" ht="15.95" customHeight="1" x14ac:dyDescent="0.25">
      <c r="E107" s="13"/>
      <c r="F107" s="21" t="s">
        <v>241</v>
      </c>
      <c r="G107" s="21"/>
      <c r="H107" s="107">
        <f t="shared" ref="H107:N107" si="6">+H70</f>
        <v>10000</v>
      </c>
      <c r="I107" s="107">
        <f t="shared" si="6"/>
        <v>15150</v>
      </c>
      <c r="J107" s="107">
        <f t="shared" si="6"/>
        <v>5500</v>
      </c>
      <c r="K107" s="107">
        <f t="shared" si="6"/>
        <v>5800</v>
      </c>
      <c r="L107" s="107">
        <f t="shared" si="6"/>
        <v>1839.52</v>
      </c>
      <c r="M107" s="107">
        <f t="shared" si="6"/>
        <v>3651.84</v>
      </c>
      <c r="N107" s="107">
        <f t="shared" si="6"/>
        <v>1560</v>
      </c>
      <c r="O107" s="105">
        <v>0</v>
      </c>
      <c r="P107" s="107">
        <f>F73</f>
        <v>42901.36</v>
      </c>
    </row>
    <row r="108" spans="1:16" ht="15.95" customHeight="1" x14ac:dyDescent="0.25">
      <c r="E108" s="13"/>
      <c r="F108" s="21"/>
      <c r="G108" s="21"/>
      <c r="H108" s="107"/>
      <c r="I108" s="107"/>
      <c r="J108" s="107"/>
      <c r="K108" s="107"/>
      <c r="L108" s="107"/>
      <c r="M108" s="107"/>
      <c r="N108" s="107"/>
      <c r="O108" s="105"/>
      <c r="P108" s="107"/>
    </row>
    <row r="109" spans="1:16" ht="15.95" customHeight="1" x14ac:dyDescent="0.25">
      <c r="E109" s="13"/>
      <c r="F109" s="21" t="s">
        <v>242</v>
      </c>
      <c r="G109" s="21"/>
      <c r="H109" s="107">
        <f t="shared" ref="H109:O109" si="7">+H106-H107</f>
        <v>1450</v>
      </c>
      <c r="I109" s="107">
        <f>+I106-I107</f>
        <v>-2130</v>
      </c>
      <c r="J109" s="107">
        <f>+J106-J107</f>
        <v>800</v>
      </c>
      <c r="K109" s="107">
        <f>+K106-K107</f>
        <v>2240</v>
      </c>
      <c r="L109" s="107">
        <f t="shared" si="7"/>
        <v>-639.52</v>
      </c>
      <c r="M109" s="107">
        <f>+M106-M107</f>
        <v>1348.1599999999999</v>
      </c>
      <c r="N109" s="107">
        <f>+N106-N107</f>
        <v>370</v>
      </c>
      <c r="O109" s="105">
        <f t="shared" si="7"/>
        <v>0</v>
      </c>
      <c r="P109" s="107">
        <f>+P106-P107</f>
        <v>4038.6399999999994</v>
      </c>
    </row>
    <row r="110" spans="1:16" ht="15.95" customHeight="1" x14ac:dyDescent="0.25">
      <c r="E110" s="13"/>
      <c r="F110" s="21"/>
      <c r="G110" s="21"/>
      <c r="H110" s="107"/>
      <c r="I110" s="107"/>
      <c r="J110" s="107"/>
      <c r="K110" s="107"/>
      <c r="L110" s="107"/>
      <c r="M110" s="107"/>
      <c r="N110" s="107"/>
      <c r="O110" s="105"/>
      <c r="P110" s="107"/>
    </row>
    <row r="111" spans="1:16" ht="15.95" customHeight="1" x14ac:dyDescent="0.25">
      <c r="E111" s="13"/>
      <c r="F111" s="21" t="s">
        <v>278</v>
      </c>
      <c r="G111" s="21"/>
      <c r="H111" s="107"/>
      <c r="I111" s="107">
        <f>+I78</f>
        <v>-5200</v>
      </c>
      <c r="J111" s="107"/>
      <c r="K111" s="107">
        <f>+K78</f>
        <v>-2000</v>
      </c>
      <c r="L111" s="107"/>
      <c r="M111" s="107"/>
      <c r="N111" s="107">
        <f>+N78</f>
        <v>-800</v>
      </c>
      <c r="O111" s="105"/>
      <c r="P111" s="107">
        <f>+I111+K111+N111</f>
        <v>-8000</v>
      </c>
    </row>
    <row r="112" spans="1:16" ht="15.95" customHeight="1" x14ac:dyDescent="0.25">
      <c r="E112" s="13"/>
      <c r="F112" s="21"/>
      <c r="G112" s="21"/>
      <c r="H112" s="107"/>
      <c r="I112" s="107"/>
      <c r="J112" s="107"/>
      <c r="K112" s="107"/>
      <c r="L112" s="107"/>
      <c r="M112" s="107"/>
      <c r="N112" s="107"/>
      <c r="O112" s="105"/>
      <c r="P112" s="107"/>
    </row>
    <row r="113" spans="5:16" ht="15.95" customHeight="1" x14ac:dyDescent="0.25">
      <c r="E113" s="13"/>
      <c r="F113" s="21" t="s">
        <v>379</v>
      </c>
      <c r="G113" s="21"/>
      <c r="H113" s="107">
        <f>+H109</f>
        <v>1450</v>
      </c>
      <c r="I113" s="107">
        <f>+I109+I111</f>
        <v>-7330</v>
      </c>
      <c r="J113" s="107">
        <f>+J109+J111</f>
        <v>800</v>
      </c>
      <c r="K113" s="107">
        <f>+K109+K111</f>
        <v>240</v>
      </c>
      <c r="L113" s="107">
        <f>+L109+L111</f>
        <v>-639.52</v>
      </c>
      <c r="M113" s="107">
        <f>+M109+N111</f>
        <v>548.15999999999985</v>
      </c>
      <c r="N113" s="107">
        <f>+N109+N111</f>
        <v>-430</v>
      </c>
      <c r="O113" s="105">
        <f>+O109+O111</f>
        <v>0</v>
      </c>
      <c r="P113" s="107">
        <f>+P109+P111</f>
        <v>-3961.3600000000006</v>
      </c>
    </row>
    <row r="114" spans="5:16" ht="15.95" customHeight="1" x14ac:dyDescent="0.25">
      <c r="E114" s="13"/>
      <c r="F114" s="21" t="s">
        <v>374</v>
      </c>
      <c r="G114" s="21"/>
      <c r="H114" s="106"/>
      <c r="I114" s="68">
        <v>3500</v>
      </c>
      <c r="J114" s="106"/>
      <c r="K114" s="106"/>
      <c r="L114" s="106"/>
      <c r="M114" s="106"/>
      <c r="N114" s="106"/>
      <c r="O114" s="106"/>
      <c r="P114" s="68">
        <f>+I114</f>
        <v>3500</v>
      </c>
    </row>
    <row r="115" spans="5:16" ht="15.95" customHeight="1" x14ac:dyDescent="0.25">
      <c r="E115" s="13"/>
      <c r="F115" s="21"/>
      <c r="G115" s="21"/>
      <c r="H115" s="106"/>
      <c r="I115" s="106"/>
      <c r="J115" s="106"/>
      <c r="K115" s="106"/>
      <c r="L115" s="106"/>
      <c r="M115" s="106"/>
      <c r="N115" s="106"/>
      <c r="O115" s="106"/>
      <c r="P115" s="69"/>
    </row>
    <row r="116" spans="5:16" ht="15.95" customHeight="1" x14ac:dyDescent="0.25">
      <c r="E116" s="13"/>
      <c r="F116" s="21" t="s">
        <v>376</v>
      </c>
      <c r="G116" s="21"/>
      <c r="H116" s="106" t="s">
        <v>8</v>
      </c>
      <c r="I116" s="69">
        <f>I113+I114</f>
        <v>-3830</v>
      </c>
      <c r="J116" s="69">
        <f>J113</f>
        <v>800</v>
      </c>
      <c r="K116" s="106">
        <f>K113</f>
        <v>240</v>
      </c>
      <c r="L116" s="69">
        <f>L113</f>
        <v>-639.52</v>
      </c>
      <c r="M116" s="106">
        <f>M113</f>
        <v>548.15999999999985</v>
      </c>
      <c r="N116" s="106">
        <f>N113</f>
        <v>-430</v>
      </c>
      <c r="O116" s="106"/>
      <c r="P116" s="69">
        <f>+P113+P114</f>
        <v>-461.36000000000058</v>
      </c>
    </row>
    <row r="117" spans="5:16" ht="15.95" customHeight="1" x14ac:dyDescent="0.25">
      <c r="H117" s="106"/>
      <c r="I117" s="106"/>
      <c r="J117" s="106"/>
      <c r="K117" s="106"/>
      <c r="L117" s="106"/>
      <c r="M117" s="106"/>
      <c r="N117" s="106"/>
      <c r="O117" s="106"/>
      <c r="P117" s="106"/>
    </row>
  </sheetData>
  <phoneticPr fontId="21" type="noConversion"/>
  <printOptions horizontalCentered="1" gridLines="1"/>
  <pageMargins left="0.25" right="0.25" top="0.5" bottom="0.5" header="0.5" footer="0.5"/>
  <pageSetup scale="56" orientation="landscape" horizontalDpi="300" verticalDpi="300" r:id="rId1"/>
  <headerFooter alignWithMargins="0">
    <oddHeader>&amp;L&amp;D&amp;R2012 Program budget</oddHeader>
    <oddFooter>&amp;LJWB&amp;RDiscussion Draft  Budget</oddFooter>
  </headerFooter>
  <rowBreaks count="2" manualBreakCount="2">
    <brk id="31" max="16383" man="1"/>
    <brk id="88" max="1638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81"/>
  <sheetViews>
    <sheetView topLeftCell="A4" workbookViewId="0">
      <pane ySplit="1200" activePane="bottomLeft"/>
      <selection activeCell="F6" sqref="F6"/>
      <selection pane="bottomLeft" activeCell="I11" sqref="I11"/>
    </sheetView>
  </sheetViews>
  <sheetFormatPr defaultColWidth="8.85546875" defaultRowHeight="15" x14ac:dyDescent="0.25"/>
  <cols>
    <col min="2" max="2" width="10.42578125" customWidth="1"/>
    <col min="3" max="3" width="23.140625" customWidth="1"/>
    <col min="4" max="4" width="17.85546875" customWidth="1"/>
    <col min="5" max="5" width="11" customWidth="1"/>
    <col min="6" max="6" width="13.42578125" style="13" bestFit="1" customWidth="1"/>
    <col min="7" max="7" width="1.7109375" style="13" customWidth="1"/>
    <col min="8" max="8" width="13.42578125" style="21" bestFit="1" customWidth="1"/>
    <col min="9" max="9" width="15.7109375" customWidth="1"/>
    <col min="10" max="10" width="51.28515625" customWidth="1"/>
    <col min="11" max="11" width="17.140625" customWidth="1"/>
  </cols>
  <sheetData>
    <row r="2" spans="2:12" x14ac:dyDescent="0.25">
      <c r="B2" s="19" t="s">
        <v>0</v>
      </c>
    </row>
    <row r="3" spans="2:12" x14ac:dyDescent="0.25">
      <c r="B3" s="19" t="s">
        <v>1</v>
      </c>
      <c r="F3" s="76" t="s">
        <v>262</v>
      </c>
      <c r="G3" s="76"/>
      <c r="H3" s="77" t="s">
        <v>260</v>
      </c>
      <c r="I3" s="77" t="s">
        <v>272</v>
      </c>
      <c r="J3" t="s">
        <v>8</v>
      </c>
      <c r="L3" t="s">
        <v>8</v>
      </c>
    </row>
    <row r="4" spans="2:12" x14ac:dyDescent="0.25">
      <c r="B4" t="s">
        <v>269</v>
      </c>
      <c r="L4" t="s">
        <v>8</v>
      </c>
    </row>
    <row r="5" spans="2:12" x14ac:dyDescent="0.25">
      <c r="L5" t="s">
        <v>8</v>
      </c>
    </row>
    <row r="6" spans="2:12" x14ac:dyDescent="0.25">
      <c r="B6" t="s">
        <v>2</v>
      </c>
      <c r="F6" s="21">
        <v>15000</v>
      </c>
      <c r="G6" s="21"/>
      <c r="L6" t="s">
        <v>8</v>
      </c>
    </row>
    <row r="7" spans="2:12" x14ac:dyDescent="0.25">
      <c r="C7" t="s">
        <v>26</v>
      </c>
      <c r="F7" s="31">
        <v>15000</v>
      </c>
      <c r="G7" s="31"/>
      <c r="J7" t="s">
        <v>8</v>
      </c>
      <c r="L7" t="s">
        <v>8</v>
      </c>
    </row>
    <row r="8" spans="2:12" x14ac:dyDescent="0.25">
      <c r="C8" s="19" t="s">
        <v>27</v>
      </c>
      <c r="F8" s="24">
        <f>F7+F6</f>
        <v>30000</v>
      </c>
      <c r="G8" s="24"/>
    </row>
    <row r="10" spans="2:12" x14ac:dyDescent="0.25">
      <c r="B10" s="19" t="s">
        <v>3</v>
      </c>
      <c r="E10" s="2" t="s">
        <v>6</v>
      </c>
      <c r="L10" t="s">
        <v>8</v>
      </c>
    </row>
    <row r="11" spans="2:12" x14ac:dyDescent="0.25">
      <c r="C11" t="s">
        <v>31</v>
      </c>
      <c r="D11" s="1">
        <v>350</v>
      </c>
      <c r="E11">
        <v>50</v>
      </c>
      <c r="F11" s="13">
        <f>D11*E11</f>
        <v>17500</v>
      </c>
      <c r="H11" s="72">
        <f>10040+8475</f>
        <v>18515</v>
      </c>
      <c r="I11" s="62" t="s">
        <v>8</v>
      </c>
      <c r="J11" t="s">
        <v>182</v>
      </c>
    </row>
    <row r="12" spans="2:12" x14ac:dyDescent="0.25">
      <c r="C12" s="22" t="s">
        <v>32</v>
      </c>
      <c r="D12" s="1">
        <v>75</v>
      </c>
      <c r="E12">
        <v>10</v>
      </c>
      <c r="F12" s="13">
        <f>D12*E12</f>
        <v>750</v>
      </c>
      <c r="H12" s="72"/>
      <c r="L12" t="s">
        <v>8</v>
      </c>
    </row>
    <row r="13" spans="2:12" x14ac:dyDescent="0.25">
      <c r="C13" t="s">
        <v>33</v>
      </c>
      <c r="D13" s="1">
        <v>150</v>
      </c>
      <c r="E13">
        <v>10</v>
      </c>
      <c r="F13" s="13">
        <f>E13*D13</f>
        <v>1500</v>
      </c>
      <c r="H13" s="72"/>
      <c r="J13" t="s">
        <v>171</v>
      </c>
    </row>
    <row r="14" spans="2:12" x14ac:dyDescent="0.25">
      <c r="C14" t="s">
        <v>5</v>
      </c>
      <c r="D14" s="1">
        <v>350</v>
      </c>
      <c r="E14" s="30">
        <v>17</v>
      </c>
      <c r="F14" s="13">
        <f>E14*D14</f>
        <v>5950</v>
      </c>
      <c r="H14" s="72">
        <v>6620</v>
      </c>
      <c r="J14" s="18" t="s">
        <v>8</v>
      </c>
      <c r="L14" s="18" t="s">
        <v>8</v>
      </c>
    </row>
    <row r="15" spans="2:12" x14ac:dyDescent="0.25">
      <c r="C15" t="s">
        <v>173</v>
      </c>
      <c r="D15" s="1">
        <v>200</v>
      </c>
      <c r="E15">
        <v>12</v>
      </c>
      <c r="F15" s="13">
        <f>E15*D15</f>
        <v>2400</v>
      </c>
      <c r="H15" s="72">
        <v>3000</v>
      </c>
      <c r="J15" t="s">
        <v>145</v>
      </c>
    </row>
    <row r="16" spans="2:12" x14ac:dyDescent="0.25">
      <c r="C16" t="s">
        <v>174</v>
      </c>
      <c r="D16" s="1">
        <v>200</v>
      </c>
      <c r="E16">
        <v>10</v>
      </c>
      <c r="F16" s="13">
        <f>E16*D16</f>
        <v>2000</v>
      </c>
      <c r="H16" s="72">
        <v>2600</v>
      </c>
      <c r="J16" t="s">
        <v>141</v>
      </c>
    </row>
    <row r="17" spans="3:12" x14ac:dyDescent="0.25">
      <c r="C17" s="22" t="s">
        <v>261</v>
      </c>
      <c r="D17" s="42">
        <v>75</v>
      </c>
      <c r="E17">
        <v>10</v>
      </c>
      <c r="F17" s="13">
        <f>E17*D17</f>
        <v>750</v>
      </c>
      <c r="H17" s="72">
        <v>450</v>
      </c>
      <c r="J17" t="s">
        <v>135</v>
      </c>
      <c r="L17" t="s">
        <v>8</v>
      </c>
    </row>
    <row r="18" spans="3:12" x14ac:dyDescent="0.25">
      <c r="C18" s="23" t="s">
        <v>45</v>
      </c>
      <c r="D18" s="1"/>
      <c r="F18" s="20">
        <f>SUM(F11:F17)</f>
        <v>30850</v>
      </c>
      <c r="G18" s="20"/>
      <c r="H18" s="73">
        <f>SUM(H11:H17)</f>
        <v>31185</v>
      </c>
    </row>
    <row r="19" spans="3:12" x14ac:dyDescent="0.25">
      <c r="C19" s="23"/>
      <c r="D19" s="1"/>
      <c r="H19" s="72"/>
    </row>
    <row r="20" spans="3:12" x14ac:dyDescent="0.25">
      <c r="C20" t="s">
        <v>36</v>
      </c>
      <c r="H20" s="72"/>
      <c r="L20" t="s">
        <v>8</v>
      </c>
    </row>
    <row r="21" spans="3:12" x14ac:dyDescent="0.25">
      <c r="C21" s="22" t="s">
        <v>131</v>
      </c>
      <c r="D21" s="21">
        <v>80</v>
      </c>
      <c r="E21">
        <v>10</v>
      </c>
      <c r="F21" s="13">
        <f t="shared" ref="F21:F29" si="0">E21*D21</f>
        <v>800</v>
      </c>
      <c r="H21" s="72"/>
      <c r="J21" t="s">
        <v>146</v>
      </c>
    </row>
    <row r="22" spans="3:12" x14ac:dyDescent="0.25">
      <c r="C22" s="22" t="s">
        <v>132</v>
      </c>
      <c r="D22" s="21">
        <v>80</v>
      </c>
      <c r="E22">
        <v>10</v>
      </c>
      <c r="F22" s="13">
        <f t="shared" si="0"/>
        <v>800</v>
      </c>
      <c r="H22" s="72"/>
    </row>
    <row r="23" spans="3:12" x14ac:dyDescent="0.25">
      <c r="C23" s="22" t="s">
        <v>133</v>
      </c>
      <c r="D23" s="21">
        <v>80</v>
      </c>
      <c r="E23">
        <v>10</v>
      </c>
      <c r="F23" s="13">
        <f t="shared" si="0"/>
        <v>800</v>
      </c>
      <c r="H23" s="72">
        <v>2400</v>
      </c>
      <c r="L23" t="s">
        <v>8</v>
      </c>
    </row>
    <row r="24" spans="3:12" x14ac:dyDescent="0.25">
      <c r="C24" s="22" t="s">
        <v>168</v>
      </c>
      <c r="D24" s="21">
        <v>275</v>
      </c>
      <c r="E24">
        <v>1</v>
      </c>
      <c r="F24" s="13">
        <f>E24*D24</f>
        <v>275</v>
      </c>
      <c r="H24" s="72"/>
      <c r="J24" t="s">
        <v>169</v>
      </c>
    </row>
    <row r="25" spans="3:12" x14ac:dyDescent="0.25">
      <c r="C25" s="22" t="s">
        <v>37</v>
      </c>
      <c r="D25" s="21">
        <v>650</v>
      </c>
      <c r="E25">
        <v>12</v>
      </c>
      <c r="F25" s="13">
        <f t="shared" si="0"/>
        <v>7800</v>
      </c>
      <c r="H25" s="72">
        <v>9635</v>
      </c>
      <c r="J25" t="s">
        <v>8</v>
      </c>
    </row>
    <row r="26" spans="3:12" x14ac:dyDescent="0.25">
      <c r="C26" s="22" t="s">
        <v>38</v>
      </c>
      <c r="D26" s="21">
        <v>300</v>
      </c>
      <c r="E26">
        <v>6</v>
      </c>
      <c r="F26" s="13">
        <f t="shared" si="0"/>
        <v>1800</v>
      </c>
      <c r="H26" s="72"/>
      <c r="J26" t="s">
        <v>172</v>
      </c>
    </row>
    <row r="27" spans="3:12" x14ac:dyDescent="0.25">
      <c r="C27" s="22" t="s">
        <v>47</v>
      </c>
      <c r="D27" s="41">
        <v>50</v>
      </c>
      <c r="E27">
        <v>10</v>
      </c>
      <c r="F27" s="13">
        <f t="shared" si="0"/>
        <v>500</v>
      </c>
      <c r="H27" s="72"/>
      <c r="J27" t="s">
        <v>183</v>
      </c>
    </row>
    <row r="28" spans="3:12" x14ac:dyDescent="0.25">
      <c r="C28" s="22" t="s">
        <v>134</v>
      </c>
      <c r="D28" s="41">
        <v>200</v>
      </c>
      <c r="E28">
        <v>8</v>
      </c>
      <c r="F28" s="13">
        <f t="shared" si="0"/>
        <v>1600</v>
      </c>
      <c r="H28" s="72">
        <v>3000</v>
      </c>
      <c r="J28" t="s">
        <v>184</v>
      </c>
    </row>
    <row r="29" spans="3:12" x14ac:dyDescent="0.25">
      <c r="C29" s="22" t="s">
        <v>175</v>
      </c>
      <c r="D29" s="41">
        <v>120</v>
      </c>
      <c r="E29">
        <v>4</v>
      </c>
      <c r="F29" s="13">
        <f t="shared" si="0"/>
        <v>480</v>
      </c>
      <c r="H29" s="72"/>
      <c r="J29" t="s">
        <v>176</v>
      </c>
    </row>
    <row r="30" spans="3:12" x14ac:dyDescent="0.25">
      <c r="C30" s="23" t="s">
        <v>48</v>
      </c>
      <c r="F30" s="20">
        <f>SUM(F21:F29)</f>
        <v>14855</v>
      </c>
      <c r="G30" s="20"/>
      <c r="H30" s="72">
        <f>SUM(H23:H28)</f>
        <v>15035</v>
      </c>
    </row>
    <row r="31" spans="3:12" x14ac:dyDescent="0.25">
      <c r="C31" s="18" t="s">
        <v>166</v>
      </c>
      <c r="F31" s="20">
        <f>Equipment!D26</f>
        <v>-12500</v>
      </c>
      <c r="G31" s="20"/>
      <c r="H31" s="72">
        <v>2850</v>
      </c>
      <c r="J31" t="s">
        <v>178</v>
      </c>
    </row>
    <row r="32" spans="3:12" x14ac:dyDescent="0.25">
      <c r="C32" s="18"/>
      <c r="F32" s="20"/>
      <c r="G32" s="20"/>
      <c r="H32" s="72"/>
    </row>
    <row r="33" spans="2:12" x14ac:dyDescent="0.25">
      <c r="C33" s="23" t="s">
        <v>49</v>
      </c>
      <c r="F33" s="24">
        <f>F30+F18+F31</f>
        <v>33205</v>
      </c>
      <c r="G33" s="24"/>
      <c r="H33" s="73">
        <f>H30+H18+H31</f>
        <v>49070</v>
      </c>
    </row>
    <row r="34" spans="2:12" x14ac:dyDescent="0.25">
      <c r="C34" s="23"/>
      <c r="F34" s="20"/>
      <c r="G34" s="20"/>
      <c r="H34" s="72"/>
    </row>
    <row r="35" spans="2:12" x14ac:dyDescent="0.25">
      <c r="B35" s="19" t="s">
        <v>4</v>
      </c>
      <c r="F35" s="76" t="s">
        <v>262</v>
      </c>
      <c r="G35" s="76"/>
      <c r="H35" s="77" t="s">
        <v>260</v>
      </c>
      <c r="L35" t="s">
        <v>8</v>
      </c>
    </row>
    <row r="36" spans="2:12" x14ac:dyDescent="0.25">
      <c r="B36" s="19"/>
      <c r="F36" s="20"/>
      <c r="G36" s="20"/>
      <c r="H36" s="23"/>
    </row>
    <row r="37" spans="2:12" x14ac:dyDescent="0.25">
      <c r="C37" t="s">
        <v>19</v>
      </c>
      <c r="F37" s="13">
        <v>12500</v>
      </c>
      <c r="H37" s="72">
        <v>13730</v>
      </c>
      <c r="J37" t="s">
        <v>177</v>
      </c>
      <c r="L37" t="s">
        <v>8</v>
      </c>
    </row>
    <row r="38" spans="2:12" x14ac:dyDescent="0.25">
      <c r="C38" t="s">
        <v>35</v>
      </c>
      <c r="F38" s="13">
        <v>5000</v>
      </c>
      <c r="H38" s="72">
        <v>1871</v>
      </c>
      <c r="L38" t="s">
        <v>8</v>
      </c>
    </row>
    <row r="39" spans="2:12" x14ac:dyDescent="0.25">
      <c r="C39" t="s">
        <v>20</v>
      </c>
      <c r="F39" s="13">
        <v>3000</v>
      </c>
      <c r="H39" s="72">
        <v>4879</v>
      </c>
    </row>
    <row r="40" spans="2:12" x14ac:dyDescent="0.25">
      <c r="C40" t="s">
        <v>21</v>
      </c>
      <c r="F40" s="13">
        <v>900</v>
      </c>
      <c r="H40" s="72"/>
      <c r="J40" t="s">
        <v>179</v>
      </c>
      <c r="L40" t="s">
        <v>8</v>
      </c>
    </row>
    <row r="41" spans="2:12" x14ac:dyDescent="0.25">
      <c r="C41" t="s">
        <v>22</v>
      </c>
      <c r="F41" s="13">
        <v>500</v>
      </c>
      <c r="H41" s="72"/>
      <c r="L41" t="s">
        <v>8</v>
      </c>
    </row>
    <row r="42" spans="2:12" x14ac:dyDescent="0.25">
      <c r="C42" t="s">
        <v>30</v>
      </c>
      <c r="F42" s="13">
        <v>2000</v>
      </c>
      <c r="H42" s="72"/>
      <c r="L42" t="s">
        <v>8</v>
      </c>
    </row>
    <row r="43" spans="2:12" x14ac:dyDescent="0.25">
      <c r="C43" t="s">
        <v>28</v>
      </c>
      <c r="F43" s="13">
        <v>1350</v>
      </c>
      <c r="H43" s="72"/>
      <c r="J43" t="s">
        <v>8</v>
      </c>
    </row>
    <row r="44" spans="2:12" x14ac:dyDescent="0.25">
      <c r="C44" t="s">
        <v>29</v>
      </c>
      <c r="F44" s="13">
        <f>250+250+100</f>
        <v>600</v>
      </c>
      <c r="H44" s="72"/>
      <c r="J44" t="s">
        <v>8</v>
      </c>
    </row>
    <row r="45" spans="2:12" x14ac:dyDescent="0.25">
      <c r="C45" s="22" t="s">
        <v>263</v>
      </c>
      <c r="H45" s="72">
        <f>480+3127+1177+85+664+35+1770+172+350+35</f>
        <v>7895</v>
      </c>
      <c r="J45" t="s">
        <v>264</v>
      </c>
    </row>
    <row r="46" spans="2:12" x14ac:dyDescent="0.25">
      <c r="D46" s="19" t="s">
        <v>149</v>
      </c>
      <c r="F46" s="20">
        <f>SUM(F37:F44)</f>
        <v>25850</v>
      </c>
      <c r="G46" s="20"/>
      <c r="H46" s="72">
        <f>SUM(H37:H45)</f>
        <v>28375</v>
      </c>
    </row>
    <row r="47" spans="2:12" x14ac:dyDescent="0.25">
      <c r="H47" s="72"/>
    </row>
    <row r="48" spans="2:12" x14ac:dyDescent="0.25">
      <c r="C48" t="s">
        <v>39</v>
      </c>
      <c r="H48" s="72"/>
    </row>
    <row r="49" spans="3:10" x14ac:dyDescent="0.25">
      <c r="C49" s="22" t="s">
        <v>40</v>
      </c>
      <c r="F49" s="13">
        <f>E50+E51+E52</f>
        <v>3420</v>
      </c>
      <c r="H49" s="72">
        <v>1896</v>
      </c>
      <c r="J49" t="s">
        <v>154</v>
      </c>
    </row>
    <row r="50" spans="3:10" x14ac:dyDescent="0.25">
      <c r="C50" s="22"/>
      <c r="D50" t="s">
        <v>128</v>
      </c>
      <c r="E50" s="21">
        <f>32*3*10*3</f>
        <v>2880</v>
      </c>
      <c r="H50" s="72"/>
      <c r="J50" t="s">
        <v>8</v>
      </c>
    </row>
    <row r="51" spans="3:10" x14ac:dyDescent="0.25">
      <c r="C51" s="22"/>
      <c r="D51" t="s">
        <v>129</v>
      </c>
      <c r="E51" s="21">
        <f>24*15</f>
        <v>360</v>
      </c>
      <c r="H51" s="72"/>
    </row>
    <row r="52" spans="3:10" x14ac:dyDescent="0.25">
      <c r="C52" s="22"/>
      <c r="D52" t="s">
        <v>134</v>
      </c>
      <c r="E52" s="21">
        <f>12*15</f>
        <v>180</v>
      </c>
      <c r="H52" s="72"/>
    </row>
    <row r="53" spans="3:10" x14ac:dyDescent="0.25">
      <c r="C53" s="22" t="s">
        <v>41</v>
      </c>
      <c r="F53" s="35">
        <f>E54+E55+E56</f>
        <v>4002</v>
      </c>
      <c r="G53" s="35"/>
      <c r="H53" s="72">
        <v>5771</v>
      </c>
      <c r="J53" s="36" t="s">
        <v>265</v>
      </c>
    </row>
    <row r="54" spans="3:10" x14ac:dyDescent="0.25">
      <c r="C54" s="22"/>
      <c r="D54" t="s">
        <v>128</v>
      </c>
      <c r="E54" s="21">
        <f>32*3*37</f>
        <v>3552</v>
      </c>
      <c r="F54" s="37"/>
      <c r="G54" s="37"/>
      <c r="H54" s="72"/>
      <c r="J54" s="36" t="s">
        <v>153</v>
      </c>
    </row>
    <row r="55" spans="3:10" x14ac:dyDescent="0.25">
      <c r="C55" s="22"/>
      <c r="D55" t="s">
        <v>129</v>
      </c>
      <c r="E55" s="21">
        <f>12*2*12.5</f>
        <v>300</v>
      </c>
      <c r="F55" s="37"/>
      <c r="G55" s="37"/>
      <c r="H55" s="72"/>
      <c r="J55" s="36" t="s">
        <v>143</v>
      </c>
    </row>
    <row r="56" spans="3:10" x14ac:dyDescent="0.25">
      <c r="C56" s="22"/>
      <c r="D56" t="s">
        <v>134</v>
      </c>
      <c r="E56" s="21">
        <f>6*2*12.5</f>
        <v>150</v>
      </c>
      <c r="F56" s="37"/>
      <c r="G56" s="37"/>
      <c r="H56" s="72"/>
      <c r="J56" s="36" t="s">
        <v>144</v>
      </c>
    </row>
    <row r="57" spans="3:10" x14ac:dyDescent="0.25">
      <c r="C57" s="22" t="s">
        <v>42</v>
      </c>
      <c r="F57" s="13">
        <f>E58+E59+E60+E61</f>
        <v>5000</v>
      </c>
      <c r="H57" s="72">
        <v>4976</v>
      </c>
      <c r="J57" t="s">
        <v>152</v>
      </c>
    </row>
    <row r="58" spans="3:10" x14ac:dyDescent="0.25">
      <c r="C58" s="22"/>
      <c r="D58" t="s">
        <v>128</v>
      </c>
      <c r="E58" s="21">
        <f>32*50</f>
        <v>1600</v>
      </c>
      <c r="H58" s="72"/>
      <c r="J58" t="s">
        <v>156</v>
      </c>
    </row>
    <row r="59" spans="3:10" x14ac:dyDescent="0.25">
      <c r="C59" s="22"/>
      <c r="D59" t="s">
        <v>139</v>
      </c>
      <c r="E59" s="21">
        <f>50*32</f>
        <v>1600</v>
      </c>
      <c r="H59" s="72"/>
      <c r="J59" t="s">
        <v>155</v>
      </c>
    </row>
    <row r="60" spans="3:10" x14ac:dyDescent="0.25">
      <c r="C60" s="22"/>
      <c r="D60" t="s">
        <v>129</v>
      </c>
      <c r="E60" s="21">
        <f>24*50</f>
        <v>1200</v>
      </c>
      <c r="H60" s="72"/>
      <c r="J60" t="s">
        <v>167</v>
      </c>
    </row>
    <row r="61" spans="3:10" x14ac:dyDescent="0.25">
      <c r="C61" s="22"/>
      <c r="D61" t="s">
        <v>130</v>
      </c>
      <c r="E61" s="21">
        <f>6*2*50</f>
        <v>600</v>
      </c>
      <c r="H61" s="72"/>
      <c r="J61" t="s">
        <v>140</v>
      </c>
    </row>
    <row r="62" spans="3:10" x14ac:dyDescent="0.25">
      <c r="C62" s="22" t="s">
        <v>138</v>
      </c>
      <c r="F62" s="35">
        <v>500</v>
      </c>
      <c r="G62" s="35"/>
      <c r="H62" s="72"/>
      <c r="J62" t="s">
        <v>180</v>
      </c>
    </row>
    <row r="63" spans="3:10" x14ac:dyDescent="0.25">
      <c r="C63" s="22" t="s">
        <v>43</v>
      </c>
      <c r="F63" s="13">
        <v>1000</v>
      </c>
      <c r="H63" s="72">
        <v>335</v>
      </c>
      <c r="J63" t="s">
        <v>44</v>
      </c>
    </row>
    <row r="64" spans="3:10" x14ac:dyDescent="0.25">
      <c r="C64" s="22" t="s">
        <v>46</v>
      </c>
      <c r="F64" s="13">
        <v>500</v>
      </c>
      <c r="H64" s="72"/>
      <c r="J64" t="s">
        <v>147</v>
      </c>
    </row>
    <row r="65" spans="2:12" x14ac:dyDescent="0.25">
      <c r="C65" s="22"/>
      <c r="D65" s="19" t="s">
        <v>148</v>
      </c>
      <c r="F65" s="20">
        <f>SUM(F49:F64)</f>
        <v>14422</v>
      </c>
      <c r="G65" s="20"/>
      <c r="H65" s="74">
        <f>SUM(H49:H64)</f>
        <v>12978</v>
      </c>
    </row>
    <row r="66" spans="2:12" x14ac:dyDescent="0.25">
      <c r="C66" s="22"/>
      <c r="D66" t="s">
        <v>150</v>
      </c>
      <c r="E66" s="13">
        <f>F49+F53+E58+E60+E61+F63+(F62*0.67)+(F64*0.67)</f>
        <v>12492</v>
      </c>
      <c r="H66" s="72"/>
    </row>
    <row r="67" spans="2:12" x14ac:dyDescent="0.25">
      <c r="C67" s="22"/>
      <c r="D67" t="s">
        <v>151</v>
      </c>
      <c r="E67" s="13">
        <f>E59+(F62*0.33)+(F64*0.33)</f>
        <v>1930</v>
      </c>
      <c r="H67" s="72"/>
    </row>
    <row r="68" spans="2:12" x14ac:dyDescent="0.25">
      <c r="C68" s="23" t="s">
        <v>50</v>
      </c>
      <c r="F68" s="24">
        <f>F65+F46</f>
        <v>40272</v>
      </c>
      <c r="G68" s="24"/>
      <c r="H68" s="73">
        <f>H65+H46</f>
        <v>41353</v>
      </c>
    </row>
    <row r="69" spans="2:12" x14ac:dyDescent="0.25">
      <c r="C69" s="23"/>
      <c r="F69" s="20"/>
      <c r="G69" s="20"/>
      <c r="H69" s="72"/>
    </row>
    <row r="70" spans="2:12" x14ac:dyDescent="0.25">
      <c r="C70" s="23" t="s">
        <v>52</v>
      </c>
      <c r="F70" s="24">
        <f>F33-F68</f>
        <v>-7067</v>
      </c>
      <c r="G70" s="24"/>
      <c r="H70" s="73">
        <f>H33-H68</f>
        <v>7717</v>
      </c>
    </row>
    <row r="71" spans="2:12" x14ac:dyDescent="0.25">
      <c r="B71" t="s">
        <v>23</v>
      </c>
      <c r="H71" s="72"/>
      <c r="L71" t="s">
        <v>8</v>
      </c>
    </row>
    <row r="72" spans="2:12" x14ac:dyDescent="0.25">
      <c r="C72" t="s">
        <v>24</v>
      </c>
      <c r="F72" s="13">
        <f>-6000</f>
        <v>-6000</v>
      </c>
      <c r="H72" s="72"/>
      <c r="J72" t="s">
        <v>142</v>
      </c>
    </row>
    <row r="73" spans="2:12" x14ac:dyDescent="0.25">
      <c r="C73" t="s">
        <v>25</v>
      </c>
      <c r="F73" s="13">
        <v>-5000</v>
      </c>
      <c r="H73" s="72"/>
      <c r="L73" t="s">
        <v>8</v>
      </c>
    </row>
    <row r="74" spans="2:12" x14ac:dyDescent="0.25">
      <c r="C74" s="19" t="s">
        <v>51</v>
      </c>
      <c r="F74" s="20">
        <f>SUM(F72:F73)</f>
        <v>-11000</v>
      </c>
      <c r="G74" s="20"/>
      <c r="H74" s="75">
        <v>-10870</v>
      </c>
      <c r="L74" t="s">
        <v>8</v>
      </c>
    </row>
    <row r="75" spans="2:12" x14ac:dyDescent="0.25">
      <c r="H75" s="72"/>
      <c r="L75" t="s">
        <v>8</v>
      </c>
    </row>
    <row r="76" spans="2:12" x14ac:dyDescent="0.25">
      <c r="C76" s="19" t="s">
        <v>53</v>
      </c>
      <c r="F76" s="24">
        <f>F8+F70+F74</f>
        <v>11933</v>
      </c>
      <c r="G76" s="24"/>
      <c r="H76" s="73">
        <f>F8+H70+H74</f>
        <v>26847</v>
      </c>
      <c r="J76" s="19" t="s">
        <v>266</v>
      </c>
      <c r="L76" t="s">
        <v>8</v>
      </c>
    </row>
    <row r="77" spans="2:12" x14ac:dyDescent="0.25">
      <c r="L77" t="s">
        <v>8</v>
      </c>
    </row>
    <row r="79" spans="2:12" x14ac:dyDescent="0.25">
      <c r="L79" t="s">
        <v>8</v>
      </c>
    </row>
    <row r="80" spans="2:12" x14ac:dyDescent="0.25">
      <c r="L80" t="s">
        <v>8</v>
      </c>
    </row>
    <row r="81" spans="12:12" x14ac:dyDescent="0.25">
      <c r="L81" t="s">
        <v>8</v>
      </c>
    </row>
  </sheetData>
  <phoneticPr fontId="11" type="noConversion"/>
  <pageMargins left="0.7" right="0.7" top="0.75" bottom="0.75" header="0.3" footer="0.3"/>
  <headerFooter>
    <oddHeader>&amp;L&amp;D&amp;RDraft  actual &amp; budget 2011</oddHeader>
    <oddFooter>&amp;LJWB&amp;RDiscussion Draft</oddFooter>
  </headerFooter>
  <rowBreaks count="1" manualBreakCount="1">
    <brk id="34" max="16383" man="1"/>
  </rowBreaks>
  <colBreaks count="1" manualBreakCount="1">
    <brk id="11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9"/>
  <sheetViews>
    <sheetView topLeftCell="A43" zoomScale="125" zoomScaleNormal="125" zoomScaleSheetLayoutView="100" zoomScalePageLayoutView="125" workbookViewId="0">
      <selection activeCell="E74" sqref="E74"/>
    </sheetView>
  </sheetViews>
  <sheetFormatPr defaultColWidth="8.85546875" defaultRowHeight="15.95" customHeight="1" x14ac:dyDescent="0.25"/>
  <cols>
    <col min="1" max="1" width="12.7109375" bestFit="1" customWidth="1"/>
    <col min="2" max="2" width="34" bestFit="1" customWidth="1"/>
    <col min="3" max="3" width="22.42578125" customWidth="1"/>
    <col min="4" max="4" width="10" customWidth="1"/>
    <col min="5" max="5" width="8.28515625" customWidth="1"/>
    <col min="6" max="6" width="14.85546875" bestFit="1" customWidth="1"/>
    <col min="7" max="7" width="9" customWidth="1"/>
    <col min="8" max="8" width="12" customWidth="1"/>
    <col min="9" max="9" width="8" customWidth="1"/>
    <col min="10" max="10" width="11.28515625" bestFit="1" customWidth="1"/>
    <col min="11" max="11" width="10.42578125" customWidth="1"/>
    <col min="12" max="12" width="10.42578125" bestFit="1" customWidth="1"/>
    <col min="13" max="14" width="8.7109375" customWidth="1"/>
    <col min="15" max="15" width="9" customWidth="1"/>
  </cols>
  <sheetData>
    <row r="1" spans="1:16" ht="15.95" customHeight="1" x14ac:dyDescent="0.25">
      <c r="A1" s="19" t="s">
        <v>337</v>
      </c>
      <c r="D1" s="2" t="s">
        <v>6</v>
      </c>
      <c r="E1" s="13"/>
      <c r="F1" s="21"/>
      <c r="G1" s="46" t="s">
        <v>199</v>
      </c>
      <c r="H1" s="45" t="s">
        <v>200</v>
      </c>
      <c r="I1" s="45" t="s">
        <v>201</v>
      </c>
      <c r="J1" s="45" t="s">
        <v>139</v>
      </c>
      <c r="K1" s="45" t="s">
        <v>134</v>
      </c>
      <c r="L1" s="45" t="s">
        <v>202</v>
      </c>
      <c r="M1" s="45" t="s">
        <v>203</v>
      </c>
      <c r="N1" s="45" t="s">
        <v>349</v>
      </c>
      <c r="O1" s="45" t="s">
        <v>213</v>
      </c>
    </row>
    <row r="2" spans="1:16" ht="15.95" customHeight="1" x14ac:dyDescent="0.25">
      <c r="A2" s="60"/>
      <c r="B2" t="s">
        <v>257</v>
      </c>
      <c r="E2" s="13"/>
      <c r="F2" s="95">
        <v>71000</v>
      </c>
      <c r="G2" s="47"/>
      <c r="O2" s="52"/>
    </row>
    <row r="3" spans="1:16" ht="15.95" customHeight="1" x14ac:dyDescent="0.25">
      <c r="A3" s="60"/>
      <c r="E3" s="13"/>
      <c r="F3" s="21"/>
      <c r="G3" s="47"/>
      <c r="O3" s="52"/>
    </row>
    <row r="4" spans="1:16" ht="15.95" customHeight="1" x14ac:dyDescent="0.25">
      <c r="B4" s="30" t="s">
        <v>31</v>
      </c>
      <c r="C4" s="42">
        <v>350</v>
      </c>
      <c r="D4" s="30">
        <v>45</v>
      </c>
      <c r="E4" s="37">
        <f>C4*D4</f>
        <v>15750</v>
      </c>
      <c r="F4" s="21"/>
      <c r="G4" s="48">
        <f>100*D4</f>
        <v>4500</v>
      </c>
      <c r="H4" s="21">
        <f>250*D4</f>
        <v>11250</v>
      </c>
      <c r="O4" s="62">
        <f>SUM(G4:M4)</f>
        <v>15750</v>
      </c>
      <c r="P4" t="s">
        <v>249</v>
      </c>
    </row>
    <row r="5" spans="1:16" ht="15.95" customHeight="1" x14ac:dyDescent="0.25">
      <c r="B5" s="96" t="s">
        <v>338</v>
      </c>
      <c r="C5" s="42">
        <v>200</v>
      </c>
      <c r="D5" s="30">
        <v>5</v>
      </c>
      <c r="E5" s="97">
        <f>D5*C5</f>
        <v>1000</v>
      </c>
      <c r="F5" s="21"/>
      <c r="G5" s="48">
        <f>100*D5</f>
        <v>500</v>
      </c>
      <c r="H5" s="21">
        <f>100*D5</f>
        <v>500</v>
      </c>
      <c r="O5" s="62"/>
    </row>
    <row r="6" spans="1:16" ht="15.95" customHeight="1" x14ac:dyDescent="0.25">
      <c r="B6" s="30" t="s">
        <v>237</v>
      </c>
      <c r="C6" s="42">
        <v>100</v>
      </c>
      <c r="D6" s="30">
        <v>4</v>
      </c>
      <c r="E6" s="37">
        <f>D6*C6</f>
        <v>400</v>
      </c>
      <c r="F6" s="21"/>
      <c r="G6" s="48">
        <f>E6</f>
        <v>400</v>
      </c>
      <c r="H6" s="21"/>
      <c r="O6" s="52"/>
    </row>
    <row r="7" spans="1:16" ht="15.95" customHeight="1" x14ac:dyDescent="0.25">
      <c r="B7" s="22" t="s">
        <v>32</v>
      </c>
      <c r="C7" s="1">
        <v>100</v>
      </c>
      <c r="D7">
        <v>8</v>
      </c>
      <c r="E7" s="13">
        <f>C7*D7</f>
        <v>800</v>
      </c>
      <c r="F7" s="21"/>
      <c r="G7" s="49">
        <f>((D7*C7)/3)</f>
        <v>266.66666666666669</v>
      </c>
      <c r="H7" s="1">
        <f>((D7*C7)/3)*2</f>
        <v>533.33333333333337</v>
      </c>
      <c r="O7" s="52"/>
    </row>
    <row r="8" spans="1:16" ht="15.95" customHeight="1" x14ac:dyDescent="0.25">
      <c r="B8" t="s">
        <v>224</v>
      </c>
      <c r="C8" s="1">
        <v>150</v>
      </c>
      <c r="D8">
        <v>4</v>
      </c>
      <c r="E8" s="13">
        <f>D8*C8</f>
        <v>600</v>
      </c>
      <c r="F8" s="21"/>
      <c r="G8" s="49">
        <f>((D8*C8)/3)*2</f>
        <v>400</v>
      </c>
      <c r="H8" s="1">
        <f>(D8*C8)/3</f>
        <v>200</v>
      </c>
      <c r="O8" s="52"/>
    </row>
    <row r="9" spans="1:16" ht="15.95" customHeight="1" x14ac:dyDescent="0.25">
      <c r="B9" s="22" t="s">
        <v>353</v>
      </c>
      <c r="C9" s="1"/>
      <c r="E9" s="13"/>
      <c r="F9" s="21">
        <f>SUM(E4:E8)</f>
        <v>18550</v>
      </c>
      <c r="G9" s="49"/>
      <c r="H9" s="1"/>
      <c r="O9" s="52"/>
    </row>
    <row r="10" spans="1:16" ht="15.95" customHeight="1" x14ac:dyDescent="0.25">
      <c r="B10" t="s">
        <v>238</v>
      </c>
      <c r="C10" s="1">
        <v>350</v>
      </c>
      <c r="D10" s="30">
        <v>19</v>
      </c>
      <c r="E10" s="13">
        <f>D10*C10</f>
        <v>6650</v>
      </c>
      <c r="F10" s="21"/>
      <c r="G10" s="47"/>
      <c r="I10" s="1">
        <f>D10*C10</f>
        <v>6650</v>
      </c>
      <c r="O10" s="52"/>
    </row>
    <row r="11" spans="1:16" ht="15.95" customHeight="1" x14ac:dyDescent="0.25">
      <c r="B11" t="s">
        <v>235</v>
      </c>
      <c r="C11" s="1">
        <v>200</v>
      </c>
      <c r="D11">
        <v>16</v>
      </c>
      <c r="E11" s="13">
        <f>D11*C11</f>
        <v>3200</v>
      </c>
      <c r="F11" s="21"/>
      <c r="G11" s="47"/>
      <c r="J11" s="1">
        <f>D11*C11</f>
        <v>3200</v>
      </c>
      <c r="K11" s="1"/>
      <c r="O11" s="52"/>
    </row>
    <row r="12" spans="1:16" ht="15.95" customHeight="1" x14ac:dyDescent="0.25">
      <c r="B12" t="s">
        <v>236</v>
      </c>
      <c r="C12" s="1">
        <v>200</v>
      </c>
      <c r="D12">
        <v>12</v>
      </c>
      <c r="E12" s="13">
        <f>D12*C12</f>
        <v>2400</v>
      </c>
      <c r="F12" s="21"/>
      <c r="G12" s="47"/>
      <c r="J12" s="1">
        <f>D12*C12</f>
        <v>2400</v>
      </c>
      <c r="K12" s="1"/>
      <c r="O12" s="52"/>
    </row>
    <row r="13" spans="1:16" ht="15.95" customHeight="1" x14ac:dyDescent="0.25">
      <c r="B13" s="22" t="s">
        <v>339</v>
      </c>
      <c r="C13" s="42">
        <v>150</v>
      </c>
      <c r="D13">
        <v>8</v>
      </c>
      <c r="E13" s="13">
        <f>D13*C13</f>
        <v>1200</v>
      </c>
      <c r="F13" s="21"/>
      <c r="G13" s="49">
        <f>((D13*C13)/3)</f>
        <v>400</v>
      </c>
      <c r="H13" s="1">
        <f>((D13*C13)/3)*2</f>
        <v>800</v>
      </c>
      <c r="O13" s="52"/>
    </row>
    <row r="14" spans="1:16" ht="15.95" customHeight="1" x14ac:dyDescent="0.25">
      <c r="B14" s="22" t="s">
        <v>340</v>
      </c>
      <c r="C14" s="42">
        <v>250</v>
      </c>
      <c r="D14">
        <v>8</v>
      </c>
      <c r="E14" s="13">
        <f>D14*C14*2</f>
        <v>4000</v>
      </c>
      <c r="F14" s="21"/>
      <c r="G14" s="49"/>
      <c r="H14" s="1"/>
      <c r="J14" s="13">
        <f>+E14</f>
        <v>4000</v>
      </c>
      <c r="K14" s="13"/>
      <c r="O14" s="52"/>
    </row>
    <row r="15" spans="1:16" ht="15.95" customHeight="1" x14ac:dyDescent="0.25">
      <c r="B15" s="22" t="s">
        <v>341</v>
      </c>
      <c r="C15" s="42">
        <v>110</v>
      </c>
      <c r="D15">
        <f>4*4</f>
        <v>16</v>
      </c>
      <c r="E15" s="13">
        <f>D15*C15*2</f>
        <v>3520</v>
      </c>
      <c r="F15" s="21"/>
      <c r="G15" s="49"/>
      <c r="H15" s="1"/>
      <c r="J15" s="13">
        <f>+E15</f>
        <v>3520</v>
      </c>
      <c r="K15" s="13"/>
      <c r="O15" s="52"/>
    </row>
    <row r="16" spans="1:16" ht="15.95" customHeight="1" x14ac:dyDescent="0.25">
      <c r="B16" s="23" t="s">
        <v>45</v>
      </c>
      <c r="C16" s="1"/>
      <c r="E16" s="20">
        <f>SUM(E4:E15)</f>
        <v>39520</v>
      </c>
      <c r="F16" s="21"/>
      <c r="G16" s="50">
        <f>SUM(G4:G13)</f>
        <v>6466.666666666667</v>
      </c>
      <c r="H16" s="20">
        <f>SUM(H4:H13)</f>
        <v>13283.333333333334</v>
      </c>
      <c r="I16" s="20">
        <f>SUM(I4:I13)</f>
        <v>6650</v>
      </c>
      <c r="J16" s="20">
        <f>SUM(J11:J15)</f>
        <v>13120</v>
      </c>
      <c r="K16" s="20"/>
      <c r="O16" s="53">
        <f>+G16+H16+I16+J16</f>
        <v>39520</v>
      </c>
    </row>
    <row r="17" spans="2:15" ht="15.95" customHeight="1" x14ac:dyDescent="0.25">
      <c r="B17" s="23"/>
      <c r="C17" s="1"/>
      <c r="E17" s="13"/>
      <c r="F17" s="21"/>
      <c r="G17" s="47"/>
      <c r="O17" s="52"/>
    </row>
    <row r="18" spans="2:15" ht="15.95" customHeight="1" x14ac:dyDescent="0.25">
      <c r="B18" t="s">
        <v>36</v>
      </c>
      <c r="E18" s="13"/>
      <c r="F18" s="21"/>
      <c r="G18" s="47"/>
      <c r="O18" s="52"/>
    </row>
    <row r="19" spans="2:15" ht="15.95" customHeight="1" x14ac:dyDescent="0.25">
      <c r="B19" s="22" t="s">
        <v>131</v>
      </c>
      <c r="C19" s="21">
        <v>300</v>
      </c>
      <c r="D19">
        <v>10</v>
      </c>
      <c r="E19" s="13">
        <f t="shared" ref="E19:E28" si="0">D19*C19</f>
        <v>3000</v>
      </c>
      <c r="F19" s="21"/>
      <c r="G19" s="47"/>
      <c r="I19" t="s">
        <v>8</v>
      </c>
      <c r="L19" s="13">
        <f>+E19+E20</f>
        <v>6000</v>
      </c>
      <c r="M19" s="13">
        <f>+E23+E25-(G23+G25)</f>
        <v>8950</v>
      </c>
      <c r="N19" s="13"/>
      <c r="O19" s="52"/>
    </row>
    <row r="20" spans="2:15" ht="15.95" customHeight="1" x14ac:dyDescent="0.25">
      <c r="B20" s="22" t="s">
        <v>132</v>
      </c>
      <c r="C20" s="21">
        <v>300</v>
      </c>
      <c r="D20">
        <v>10</v>
      </c>
      <c r="E20" s="13">
        <f t="shared" si="0"/>
        <v>3000</v>
      </c>
      <c r="F20" s="21"/>
      <c r="G20" s="47"/>
      <c r="H20" t="s">
        <v>8</v>
      </c>
      <c r="I20" t="s">
        <v>8</v>
      </c>
      <c r="O20" s="52"/>
    </row>
    <row r="21" spans="2:15" ht="15.95" customHeight="1" x14ac:dyDescent="0.25">
      <c r="B21" s="22" t="s">
        <v>226</v>
      </c>
      <c r="C21" s="21">
        <v>100</v>
      </c>
      <c r="D21">
        <v>2</v>
      </c>
      <c r="E21" s="13">
        <f>D21*C21</f>
        <v>200</v>
      </c>
      <c r="F21" s="21"/>
      <c r="G21" s="51">
        <f>+E21</f>
        <v>200</v>
      </c>
      <c r="O21" s="52"/>
    </row>
    <row r="22" spans="2:15" ht="15.95" customHeight="1" x14ac:dyDescent="0.25">
      <c r="B22" s="22" t="s">
        <v>168</v>
      </c>
      <c r="C22" s="41">
        <v>100</v>
      </c>
      <c r="D22">
        <v>2</v>
      </c>
      <c r="E22" s="13">
        <f>D22*C22</f>
        <v>200</v>
      </c>
      <c r="F22" s="21"/>
      <c r="G22" s="47"/>
      <c r="H22" s="13">
        <f>+E22</f>
        <v>200</v>
      </c>
      <c r="O22" s="52"/>
    </row>
    <row r="23" spans="2:15" ht="15.95" customHeight="1" x14ac:dyDescent="0.25">
      <c r="B23" s="22" t="s">
        <v>37</v>
      </c>
      <c r="C23" s="21">
        <v>660</v>
      </c>
      <c r="D23">
        <v>14</v>
      </c>
      <c r="E23" s="13">
        <f t="shared" si="0"/>
        <v>9240</v>
      </c>
      <c r="F23" s="21"/>
      <c r="G23" s="47">
        <f>100*D23</f>
        <v>1400</v>
      </c>
      <c r="O23" s="52"/>
    </row>
    <row r="24" spans="2:15" ht="15.95" customHeight="1" x14ac:dyDescent="0.25">
      <c r="B24" s="22" t="s">
        <v>230</v>
      </c>
      <c r="C24" s="21">
        <v>100</v>
      </c>
      <c r="D24">
        <v>1</v>
      </c>
      <c r="E24" s="13">
        <f t="shared" si="0"/>
        <v>100</v>
      </c>
      <c r="F24" s="21"/>
      <c r="G24" s="47"/>
      <c r="H24" s="13">
        <f>+E24</f>
        <v>100</v>
      </c>
      <c r="O24" s="52"/>
    </row>
    <row r="25" spans="2:15" ht="15.95" customHeight="1" x14ac:dyDescent="0.25">
      <c r="B25" s="22" t="s">
        <v>228</v>
      </c>
      <c r="C25" s="21">
        <v>235</v>
      </c>
      <c r="D25">
        <v>6</v>
      </c>
      <c r="E25" s="13">
        <f t="shared" si="0"/>
        <v>1410</v>
      </c>
      <c r="F25" s="21"/>
      <c r="G25" s="47">
        <f>(100*D25)*0.5</f>
        <v>300</v>
      </c>
      <c r="O25" s="52"/>
    </row>
    <row r="26" spans="2:15" ht="15.95" customHeight="1" x14ac:dyDescent="0.25">
      <c r="B26" s="22" t="s">
        <v>229</v>
      </c>
      <c r="C26" s="41">
        <v>100</v>
      </c>
      <c r="D26">
        <v>1</v>
      </c>
      <c r="E26" s="13">
        <f t="shared" si="0"/>
        <v>100</v>
      </c>
      <c r="F26" s="21"/>
      <c r="G26" s="51">
        <f>+E26</f>
        <v>100</v>
      </c>
      <c r="O26" s="52"/>
    </row>
    <row r="27" spans="2:15" ht="15.95" customHeight="1" x14ac:dyDescent="0.25">
      <c r="B27" s="22" t="s">
        <v>134</v>
      </c>
      <c r="C27" s="41">
        <v>300</v>
      </c>
      <c r="D27">
        <v>12</v>
      </c>
      <c r="E27" s="13">
        <f t="shared" si="0"/>
        <v>3600</v>
      </c>
      <c r="F27" s="21"/>
      <c r="G27" s="47"/>
      <c r="K27" s="13">
        <f>+E27</f>
        <v>3600</v>
      </c>
      <c r="O27" s="52"/>
    </row>
    <row r="28" spans="2:15" ht="15.95" customHeight="1" x14ac:dyDescent="0.25">
      <c r="B28" s="22" t="s">
        <v>175</v>
      </c>
      <c r="C28" s="41">
        <v>120</v>
      </c>
      <c r="D28">
        <v>2</v>
      </c>
      <c r="E28" s="13">
        <f t="shared" si="0"/>
        <v>240</v>
      </c>
      <c r="F28" s="21"/>
      <c r="G28" s="51">
        <f>+E28</f>
        <v>240</v>
      </c>
      <c r="O28" s="52"/>
    </row>
    <row r="29" spans="2:15" ht="15.95" customHeight="1" x14ac:dyDescent="0.25">
      <c r="B29" s="22" t="s">
        <v>342</v>
      </c>
      <c r="C29" s="41">
        <v>150</v>
      </c>
      <c r="D29">
        <f>27*2</f>
        <v>54</v>
      </c>
      <c r="E29" s="13">
        <f>D29*C29</f>
        <v>8100</v>
      </c>
      <c r="F29" s="21"/>
      <c r="G29" s="51"/>
      <c r="N29" s="13">
        <f>E29</f>
        <v>8100</v>
      </c>
      <c r="O29" s="52"/>
    </row>
    <row r="30" spans="2:15" ht="15.95" customHeight="1" x14ac:dyDescent="0.25">
      <c r="B30" s="23" t="s">
        <v>48</v>
      </c>
      <c r="E30" s="20">
        <f>SUM(E19:E29)</f>
        <v>29190</v>
      </c>
      <c r="F30" s="21"/>
      <c r="G30" s="50">
        <f>SUM(G19:G28)</f>
        <v>2240</v>
      </c>
      <c r="H30" s="78">
        <f>SUM(H19:H28)</f>
        <v>300</v>
      </c>
      <c r="K30" s="20">
        <f>SUM(K19:K28)</f>
        <v>3600</v>
      </c>
      <c r="L30" s="20">
        <f>SUM(L19:L28)</f>
        <v>6000</v>
      </c>
      <c r="M30" s="20">
        <f>SUM(M19:M28)</f>
        <v>8950</v>
      </c>
      <c r="N30" s="20">
        <f>SUM(N19:N29)</f>
        <v>8100</v>
      </c>
      <c r="O30" s="53">
        <f>+G30+L30+M30+H30+K30+N30</f>
        <v>29190</v>
      </c>
    </row>
    <row r="31" spans="2:15" ht="15.95" customHeight="1" x14ac:dyDescent="0.25">
      <c r="B31" s="18" t="s">
        <v>8</v>
      </c>
      <c r="F31" s="21"/>
      <c r="G31" s="50"/>
      <c r="O31" s="52"/>
    </row>
    <row r="32" spans="2:15" ht="15.95" customHeight="1" x14ac:dyDescent="0.25">
      <c r="B32" s="18"/>
      <c r="E32" s="20" t="s">
        <v>8</v>
      </c>
      <c r="F32" s="21"/>
      <c r="G32" s="50"/>
      <c r="O32" s="52"/>
    </row>
    <row r="33" spans="1:15" ht="15.95" customHeight="1" x14ac:dyDescent="0.25">
      <c r="B33" s="23" t="s">
        <v>49</v>
      </c>
      <c r="E33" s="20"/>
      <c r="F33" s="24">
        <f>E30+E16</f>
        <v>68710</v>
      </c>
      <c r="G33" s="50">
        <f>+G30+G16</f>
        <v>8706.6666666666679</v>
      </c>
      <c r="H33" s="20">
        <f>+H16+H30</f>
        <v>13583.333333333334</v>
      </c>
      <c r="I33" s="20">
        <f>+I16</f>
        <v>6650</v>
      </c>
      <c r="J33" s="20">
        <f>+J16</f>
        <v>13120</v>
      </c>
      <c r="K33" s="20">
        <f>+K30</f>
        <v>3600</v>
      </c>
      <c r="L33" s="20">
        <f>+L30</f>
        <v>6000</v>
      </c>
      <c r="M33" s="20">
        <f>+M30</f>
        <v>8950</v>
      </c>
      <c r="N33" s="20">
        <f>N30</f>
        <v>8100</v>
      </c>
      <c r="O33" s="53">
        <f>+G16+H16+I16+J16+G30+L30+M30+H30+K30+N30</f>
        <v>68710</v>
      </c>
    </row>
    <row r="34" spans="1:15" ht="15.95" customHeight="1" x14ac:dyDescent="0.25">
      <c r="B34" s="23"/>
      <c r="E34" s="20"/>
      <c r="F34" s="21" t="s">
        <v>8</v>
      </c>
      <c r="G34" s="47"/>
      <c r="O34" s="61"/>
    </row>
    <row r="35" spans="1:15" ht="15.95" customHeight="1" x14ac:dyDescent="0.25">
      <c r="A35" s="60"/>
      <c r="E35" s="13"/>
      <c r="F35" s="21"/>
      <c r="G35" s="46" t="s">
        <v>199</v>
      </c>
      <c r="H35" s="45" t="s">
        <v>200</v>
      </c>
      <c r="I35" s="45" t="s">
        <v>201</v>
      </c>
      <c r="J35" s="45" t="s">
        <v>139</v>
      </c>
      <c r="K35" s="45" t="s">
        <v>134</v>
      </c>
      <c r="L35" s="45" t="s">
        <v>202</v>
      </c>
      <c r="M35" s="45" t="s">
        <v>203</v>
      </c>
      <c r="N35" s="45" t="s">
        <v>351</v>
      </c>
      <c r="O35" s="56" t="s">
        <v>18</v>
      </c>
    </row>
    <row r="36" spans="1:15" ht="15.95" customHeight="1" x14ac:dyDescent="0.25">
      <c r="B36" t="s">
        <v>19</v>
      </c>
      <c r="E36" s="13">
        <f>12500+2500</f>
        <v>15000</v>
      </c>
      <c r="F36" s="21"/>
      <c r="G36" s="47"/>
      <c r="O36" s="52"/>
    </row>
    <row r="37" spans="1:15" ht="15.95" customHeight="1" x14ac:dyDescent="0.25">
      <c r="B37" t="s">
        <v>35</v>
      </c>
      <c r="E37" s="13">
        <v>5000</v>
      </c>
      <c r="F37" s="21"/>
      <c r="G37" s="47"/>
      <c r="O37" s="52"/>
    </row>
    <row r="38" spans="1:15" ht="15.95" customHeight="1" x14ac:dyDescent="0.25">
      <c r="B38" t="s">
        <v>20</v>
      </c>
      <c r="E38" s="13">
        <v>3500</v>
      </c>
      <c r="F38" s="21"/>
      <c r="G38" s="47"/>
      <c r="I38" t="s">
        <v>8</v>
      </c>
      <c r="O38" s="52"/>
    </row>
    <row r="39" spans="1:15" ht="15.95" customHeight="1" x14ac:dyDescent="0.25">
      <c r="B39" t="s">
        <v>21</v>
      </c>
      <c r="E39" s="13">
        <v>1000</v>
      </c>
      <c r="F39" s="21"/>
      <c r="G39" s="47"/>
      <c r="O39" s="52"/>
    </row>
    <row r="40" spans="1:15" ht="15.95" customHeight="1" x14ac:dyDescent="0.25">
      <c r="B40" t="s">
        <v>250</v>
      </c>
      <c r="E40" s="13">
        <v>500</v>
      </c>
      <c r="F40" s="21"/>
      <c r="G40" s="47"/>
      <c r="O40" s="52"/>
    </row>
    <row r="41" spans="1:15" ht="15.95" customHeight="1" x14ac:dyDescent="0.25">
      <c r="B41" t="s">
        <v>30</v>
      </c>
      <c r="E41" s="13">
        <v>1500</v>
      </c>
      <c r="F41" s="21"/>
      <c r="G41" s="47"/>
      <c r="O41" s="52"/>
    </row>
    <row r="42" spans="1:15" ht="15.95" customHeight="1" x14ac:dyDescent="0.25">
      <c r="B42" t="s">
        <v>28</v>
      </c>
      <c r="E42" s="13">
        <v>350</v>
      </c>
      <c r="F42" s="21"/>
      <c r="G42" s="47"/>
      <c r="O42" s="52"/>
    </row>
    <row r="43" spans="1:15" ht="15.95" customHeight="1" x14ac:dyDescent="0.25">
      <c r="B43" t="s">
        <v>29</v>
      </c>
      <c r="E43" s="13">
        <f>250+250+500</f>
        <v>1000</v>
      </c>
      <c r="F43" s="21"/>
      <c r="G43" s="47"/>
      <c r="O43" s="52"/>
    </row>
    <row r="44" spans="1:15" ht="15.95" customHeight="1" x14ac:dyDescent="0.25">
      <c r="B44" t="s">
        <v>347</v>
      </c>
      <c r="E44" s="13">
        <v>2000</v>
      </c>
      <c r="F44" s="21"/>
      <c r="G44" s="47"/>
      <c r="O44" s="52"/>
    </row>
    <row r="45" spans="1:15" ht="15.95" customHeight="1" x14ac:dyDescent="0.25">
      <c r="C45" s="19" t="s">
        <v>149</v>
      </c>
      <c r="E45" s="20">
        <f>SUM(E36:E44)</f>
        <v>29850</v>
      </c>
      <c r="F45" s="21"/>
      <c r="G45" s="47"/>
      <c r="O45" s="52"/>
    </row>
    <row r="46" spans="1:15" ht="15.95" customHeight="1" x14ac:dyDescent="0.25">
      <c r="C46" s="19"/>
      <c r="E46" s="20"/>
      <c r="F46" s="21"/>
      <c r="G46" s="47"/>
      <c r="O46" s="52"/>
    </row>
    <row r="47" spans="1:15" ht="15.95" customHeight="1" x14ac:dyDescent="0.25">
      <c r="B47" t="s">
        <v>205</v>
      </c>
      <c r="E47" s="13"/>
      <c r="F47" s="21"/>
      <c r="G47" s="47">
        <f>+B102</f>
        <v>9600</v>
      </c>
      <c r="H47">
        <f>+C102</f>
        <v>14750</v>
      </c>
      <c r="I47">
        <f>+D102</f>
        <v>5500</v>
      </c>
      <c r="O47" s="57">
        <f>+G47+H47+I47</f>
        <v>29850</v>
      </c>
    </row>
    <row r="48" spans="1:15" ht="15.95" customHeight="1" x14ac:dyDescent="0.25">
      <c r="B48" t="s">
        <v>39</v>
      </c>
      <c r="E48" s="13"/>
      <c r="F48" s="21"/>
      <c r="G48" s="47"/>
      <c r="O48" s="52"/>
    </row>
    <row r="49" spans="2:15" ht="15.95" customHeight="1" x14ac:dyDescent="0.25">
      <c r="B49" s="22" t="s">
        <v>40</v>
      </c>
      <c r="E49" s="13">
        <f>D50+D51+D52+D53</f>
        <v>3510</v>
      </c>
      <c r="F49" s="21"/>
      <c r="G49" s="47"/>
      <c r="O49" s="52"/>
    </row>
    <row r="50" spans="2:15" ht="15.95" customHeight="1" x14ac:dyDescent="0.25">
      <c r="B50" s="22"/>
      <c r="C50" t="s">
        <v>128</v>
      </c>
      <c r="D50" s="21">
        <f>19*3*10*3</f>
        <v>1710</v>
      </c>
      <c r="E50" s="13"/>
      <c r="F50" s="21"/>
      <c r="G50" s="47"/>
      <c r="M50" s="40">
        <f>+D50</f>
        <v>1710</v>
      </c>
      <c r="N50" s="40"/>
      <c r="O50" s="52"/>
    </row>
    <row r="51" spans="2:15" ht="15.95" customHeight="1" x14ac:dyDescent="0.25">
      <c r="B51" s="22"/>
      <c r="C51" t="s">
        <v>129</v>
      </c>
      <c r="D51" s="21">
        <f>48*15</f>
        <v>720</v>
      </c>
      <c r="E51" s="13"/>
      <c r="F51" s="21"/>
      <c r="G51" s="47"/>
      <c r="L51" s="40">
        <f>+D51</f>
        <v>720</v>
      </c>
      <c r="O51" s="52"/>
    </row>
    <row r="52" spans="2:15" ht="15.95" customHeight="1" x14ac:dyDescent="0.25">
      <c r="B52" s="22"/>
      <c r="C52" t="s">
        <v>134</v>
      </c>
      <c r="D52" s="21">
        <f>36*15</f>
        <v>540</v>
      </c>
      <c r="E52" s="13"/>
      <c r="F52" s="21"/>
      <c r="G52" s="47"/>
      <c r="K52" s="40">
        <f>+D52</f>
        <v>540</v>
      </c>
      <c r="O52" s="52"/>
    </row>
    <row r="53" spans="2:15" ht="15.95" customHeight="1" x14ac:dyDescent="0.25">
      <c r="B53" s="22"/>
      <c r="C53" t="s">
        <v>343</v>
      </c>
      <c r="D53" s="21">
        <f>10*9*2*3</f>
        <v>540</v>
      </c>
      <c r="E53" s="13" t="s">
        <v>8</v>
      </c>
      <c r="F53" s="21"/>
      <c r="G53" s="47"/>
      <c r="K53" s="40"/>
      <c r="N53" s="40">
        <f>D53</f>
        <v>540</v>
      </c>
      <c r="O53" s="52"/>
    </row>
    <row r="54" spans="2:15" ht="15.95" customHeight="1" x14ac:dyDescent="0.25">
      <c r="B54" s="22" t="s">
        <v>41</v>
      </c>
      <c r="E54" s="37">
        <f>D55+D56+D57+D58</f>
        <v>6258</v>
      </c>
      <c r="F54" s="21"/>
      <c r="G54" s="47"/>
      <c r="J54" t="s">
        <v>8</v>
      </c>
      <c r="O54" s="52"/>
    </row>
    <row r="55" spans="2:15" ht="15.95" customHeight="1" x14ac:dyDescent="0.25">
      <c r="B55" s="22"/>
      <c r="C55" t="s">
        <v>128</v>
      </c>
      <c r="D55" s="21">
        <f>32*4*36</f>
        <v>4608</v>
      </c>
      <c r="E55" s="37"/>
      <c r="F55" s="21"/>
      <c r="G55" s="47"/>
      <c r="M55" s="40">
        <f>+D55</f>
        <v>4608</v>
      </c>
      <c r="N55" s="40"/>
      <c r="O55" s="52"/>
    </row>
    <row r="56" spans="2:15" ht="15.95" customHeight="1" x14ac:dyDescent="0.25">
      <c r="B56" s="22"/>
      <c r="C56" t="s">
        <v>129</v>
      </c>
      <c r="D56" s="21">
        <f>12*4*12.5</f>
        <v>600</v>
      </c>
      <c r="E56" s="37"/>
      <c r="F56" s="21"/>
      <c r="G56" s="47"/>
      <c r="L56" s="40">
        <f>+D56</f>
        <v>600</v>
      </c>
      <c r="O56" s="52"/>
    </row>
    <row r="57" spans="2:15" ht="15.95" customHeight="1" x14ac:dyDescent="0.25">
      <c r="B57" s="22"/>
      <c r="C57" t="s">
        <v>134</v>
      </c>
      <c r="D57" s="21">
        <f>10*3*12.5</f>
        <v>375</v>
      </c>
      <c r="E57" s="37"/>
      <c r="F57" s="21"/>
      <c r="G57" s="47"/>
      <c r="K57" s="40">
        <f>+D57</f>
        <v>375</v>
      </c>
      <c r="O57" s="52"/>
    </row>
    <row r="58" spans="2:15" ht="15.95" customHeight="1" x14ac:dyDescent="0.25">
      <c r="B58" s="22"/>
      <c r="C58" t="s">
        <v>343</v>
      </c>
      <c r="D58" s="21">
        <f>12.5*27*2</f>
        <v>675</v>
      </c>
      <c r="E58" s="37" t="s">
        <v>8</v>
      </c>
      <c r="F58" s="21"/>
      <c r="G58" s="47"/>
      <c r="K58" s="40"/>
      <c r="N58" s="40">
        <f>D58</f>
        <v>675</v>
      </c>
      <c r="O58" s="52"/>
    </row>
    <row r="59" spans="2:15" ht="15.95" customHeight="1" x14ac:dyDescent="0.25">
      <c r="B59" s="22" t="s">
        <v>42</v>
      </c>
      <c r="E59" s="13">
        <f>D60+D61+D62+D63+D64+D65</f>
        <v>11916</v>
      </c>
      <c r="F59" s="21"/>
      <c r="G59" s="47"/>
      <c r="O59" s="52"/>
    </row>
    <row r="60" spans="2:15" ht="15.95" customHeight="1" x14ac:dyDescent="0.25">
      <c r="B60" s="22"/>
      <c r="C60" t="s">
        <v>128</v>
      </c>
      <c r="D60" s="21">
        <f>32*50</f>
        <v>1600</v>
      </c>
      <c r="E60" s="13"/>
      <c r="F60" s="21"/>
      <c r="G60" s="47"/>
      <c r="M60" s="40">
        <f>+D60</f>
        <v>1600</v>
      </c>
      <c r="N60" s="40"/>
      <c r="O60" s="52"/>
    </row>
    <row r="61" spans="2:15" ht="15.95" customHeight="1" x14ac:dyDescent="0.25">
      <c r="B61" s="22"/>
      <c r="C61" t="s">
        <v>139</v>
      </c>
      <c r="D61" s="21">
        <f>50*32</f>
        <v>1600</v>
      </c>
      <c r="E61" s="13"/>
      <c r="F61" s="21"/>
      <c r="G61" s="47"/>
      <c r="J61" s="40">
        <f>+D61</f>
        <v>1600</v>
      </c>
      <c r="K61" s="40"/>
      <c r="O61" s="52"/>
    </row>
    <row r="62" spans="2:15" ht="15.95" customHeight="1" x14ac:dyDescent="0.25">
      <c r="B62" s="22"/>
      <c r="C62" t="s">
        <v>129</v>
      </c>
      <c r="D62" s="21">
        <f>24*50</f>
        <v>1200</v>
      </c>
      <c r="E62" s="13"/>
      <c r="F62" s="21"/>
      <c r="G62" s="47"/>
      <c r="L62" s="40">
        <f>+D62</f>
        <v>1200</v>
      </c>
      <c r="O62" s="52"/>
    </row>
    <row r="63" spans="2:15" ht="15.95" customHeight="1" x14ac:dyDescent="0.25">
      <c r="B63" s="22"/>
      <c r="C63" t="s">
        <v>130</v>
      </c>
      <c r="D63" s="21">
        <f>10*2*50</f>
        <v>1000</v>
      </c>
      <c r="E63" s="13"/>
      <c r="F63" s="21"/>
      <c r="G63" s="47"/>
      <c r="K63" s="40">
        <f>+D63</f>
        <v>1000</v>
      </c>
      <c r="O63" s="52"/>
    </row>
    <row r="64" spans="2:15" ht="15.95" customHeight="1" x14ac:dyDescent="0.25">
      <c r="B64" s="22"/>
      <c r="C64" t="s">
        <v>271</v>
      </c>
      <c r="D64" s="21">
        <f>+E14*0.9</f>
        <v>3600</v>
      </c>
      <c r="E64" s="13"/>
      <c r="F64" s="21"/>
      <c r="G64" s="47"/>
      <c r="J64" s="40">
        <f>+D64</f>
        <v>3600</v>
      </c>
      <c r="K64" s="40"/>
      <c r="O64" s="52"/>
    </row>
    <row r="65" spans="2:15" ht="15.95" customHeight="1" x14ac:dyDescent="0.25">
      <c r="B65" s="22"/>
      <c r="C65" t="s">
        <v>343</v>
      </c>
      <c r="D65" s="21">
        <f>54*27*2</f>
        <v>2916</v>
      </c>
      <c r="E65" s="13" t="s">
        <v>8</v>
      </c>
      <c r="F65" s="21"/>
      <c r="G65" s="47"/>
      <c r="J65" s="40"/>
      <c r="K65" s="40"/>
      <c r="N65" s="40">
        <f>D65</f>
        <v>2916</v>
      </c>
      <c r="O65" s="52"/>
    </row>
    <row r="66" spans="2:15" ht="15.95" customHeight="1" x14ac:dyDescent="0.25">
      <c r="B66" s="22" t="s">
        <v>344</v>
      </c>
      <c r="C66" t="s">
        <v>345</v>
      </c>
      <c r="E66" s="21">
        <f>40*27*2</f>
        <v>2160</v>
      </c>
      <c r="F66" s="21"/>
      <c r="G66" s="47"/>
      <c r="J66" s="40"/>
      <c r="K66" s="40"/>
      <c r="N66" s="40">
        <f>E66</f>
        <v>2160</v>
      </c>
      <c r="O66" s="52"/>
    </row>
    <row r="67" spans="2:15" ht="15.95" customHeight="1" x14ac:dyDescent="0.25">
      <c r="B67" s="22" t="s">
        <v>207</v>
      </c>
      <c r="D67" s="21"/>
      <c r="E67" s="13">
        <f>SUM(E49:E66)</f>
        <v>23844</v>
      </c>
      <c r="F67" s="21"/>
      <c r="G67" s="47"/>
      <c r="H67" s="40"/>
      <c r="J67" s="40">
        <f>+J61+J64</f>
        <v>5200</v>
      </c>
      <c r="K67" s="40">
        <f>SUM(K52:K63)</f>
        <v>1915</v>
      </c>
      <c r="L67" s="40">
        <f>+L62+L56+L51</f>
        <v>2520</v>
      </c>
      <c r="M67" s="40">
        <f>+M60+M55+M50</f>
        <v>7918</v>
      </c>
      <c r="N67" s="40">
        <f>N53+N58+N65+N66</f>
        <v>6291</v>
      </c>
      <c r="O67" s="54">
        <f>+J67+L67+M67+H67+K67+N67</f>
        <v>23844</v>
      </c>
    </row>
    <row r="68" spans="2:15" ht="15.95" customHeight="1" x14ac:dyDescent="0.25">
      <c r="B68" s="22"/>
      <c r="D68" s="21"/>
      <c r="E68" s="13"/>
      <c r="F68" s="21"/>
      <c r="G68" s="47"/>
      <c r="J68" s="40"/>
      <c r="K68" s="40"/>
      <c r="L68" s="40"/>
      <c r="M68" s="40"/>
      <c r="N68" s="40"/>
      <c r="O68" s="52"/>
    </row>
    <row r="69" spans="2:15" ht="15.95" customHeight="1" x14ac:dyDescent="0.25">
      <c r="B69" s="22" t="s">
        <v>138</v>
      </c>
      <c r="E69" s="37">
        <v>0</v>
      </c>
      <c r="F69" s="21"/>
      <c r="G69" s="47"/>
      <c r="O69" s="52"/>
    </row>
    <row r="70" spans="2:15" ht="15.95" customHeight="1" x14ac:dyDescent="0.25">
      <c r="B70" s="22" t="s">
        <v>43</v>
      </c>
      <c r="C70" t="s">
        <v>346</v>
      </c>
      <c r="E70" s="13">
        <v>2000</v>
      </c>
      <c r="F70" s="21"/>
      <c r="G70" s="47"/>
      <c r="O70" s="52"/>
    </row>
    <row r="71" spans="2:15" ht="15.95" customHeight="1" x14ac:dyDescent="0.25">
      <c r="B71" s="22" t="s">
        <v>46</v>
      </c>
      <c r="E71" s="13">
        <v>1000</v>
      </c>
      <c r="F71" s="21"/>
      <c r="G71" s="47"/>
      <c r="O71" s="52"/>
    </row>
    <row r="72" spans="2:15" ht="15.95" customHeight="1" x14ac:dyDescent="0.25">
      <c r="B72" s="22" t="s">
        <v>208</v>
      </c>
      <c r="E72" s="13">
        <f>+E71+E70+E69</f>
        <v>3000</v>
      </c>
      <c r="F72" s="21"/>
      <c r="G72" s="47"/>
      <c r="J72" s="13">
        <f>0.25*E72</f>
        <v>750</v>
      </c>
      <c r="K72" s="13"/>
      <c r="L72" s="13">
        <f>0.25*E72</f>
        <v>750</v>
      </c>
      <c r="M72" s="13">
        <f>0.3*E72</f>
        <v>900</v>
      </c>
      <c r="N72" s="13">
        <f>0.2*E72</f>
        <v>600</v>
      </c>
      <c r="O72" s="54">
        <f>+J72+L72+M72+N72</f>
        <v>3000</v>
      </c>
    </row>
    <row r="73" spans="2:15" ht="15.95" customHeight="1" x14ac:dyDescent="0.25">
      <c r="B73" s="22"/>
      <c r="E73" s="13"/>
      <c r="F73" s="21"/>
      <c r="G73" s="47"/>
      <c r="O73" s="52"/>
    </row>
    <row r="74" spans="2:15" ht="15.95" customHeight="1" x14ac:dyDescent="0.25">
      <c r="B74" s="22"/>
      <c r="C74" s="19" t="s">
        <v>148</v>
      </c>
      <c r="E74" s="20">
        <f>SUM(E49:E71)-E67</f>
        <v>26844</v>
      </c>
      <c r="F74" s="21"/>
      <c r="G74" s="47">
        <f>+G47</f>
        <v>9600</v>
      </c>
      <c r="H74" s="70">
        <f>+H47+H67</f>
        <v>14750</v>
      </c>
      <c r="I74" s="47">
        <f>+I47</f>
        <v>5500</v>
      </c>
      <c r="J74" s="40">
        <f>+J72+J67</f>
        <v>5950</v>
      </c>
      <c r="K74" s="40">
        <f>+K67</f>
        <v>1915</v>
      </c>
      <c r="L74" s="40">
        <f>+L72+L67</f>
        <v>3270</v>
      </c>
      <c r="M74" s="40">
        <f>+M72+M67</f>
        <v>8818</v>
      </c>
      <c r="N74" s="40">
        <f>N72+N67</f>
        <v>6891</v>
      </c>
      <c r="O74" s="54" t="s">
        <v>8</v>
      </c>
    </row>
    <row r="75" spans="2:15" ht="15.95" customHeight="1" x14ac:dyDescent="0.25">
      <c r="B75" s="22"/>
      <c r="C75" t="s">
        <v>150</v>
      </c>
      <c r="D75" s="13">
        <f>+D65+E49+E54+D60+D62+D63+E70+(E69*0.67)+(E71*0.67)</f>
        <v>19154</v>
      </c>
      <c r="E75" s="13"/>
      <c r="F75" s="21"/>
      <c r="G75" s="47"/>
      <c r="O75" s="52"/>
    </row>
    <row r="76" spans="2:15" ht="15.95" customHeight="1" x14ac:dyDescent="0.25">
      <c r="B76" s="22"/>
      <c r="C76" t="s">
        <v>151</v>
      </c>
      <c r="D76" s="13">
        <f>D61+D64+(E69*0.33)+(E71*0.33)</f>
        <v>5530</v>
      </c>
      <c r="E76" s="13"/>
      <c r="F76" s="21"/>
      <c r="G76" s="47"/>
      <c r="O76" s="54">
        <f>+(O47+O67+O72)</f>
        <v>56694</v>
      </c>
    </row>
    <row r="77" spans="2:15" ht="15.95" customHeight="1" x14ac:dyDescent="0.25">
      <c r="B77" s="23" t="s">
        <v>50</v>
      </c>
      <c r="E77" s="20" t="s">
        <v>8</v>
      </c>
      <c r="F77" s="24">
        <f>E74+E45</f>
        <v>56694</v>
      </c>
      <c r="G77" s="47" t="s">
        <v>8</v>
      </c>
      <c r="H77" s="79" t="s">
        <v>8</v>
      </c>
      <c r="I77" s="79" t="s">
        <v>8</v>
      </c>
      <c r="O77" s="52"/>
    </row>
    <row r="78" spans="2:15" ht="15.95" customHeight="1" x14ac:dyDescent="0.25">
      <c r="B78" s="23"/>
      <c r="E78" s="20"/>
      <c r="F78" s="21"/>
      <c r="G78" s="47"/>
      <c r="O78" s="52"/>
    </row>
    <row r="79" spans="2:15" ht="15.95" customHeight="1" x14ac:dyDescent="0.25">
      <c r="B79" s="23" t="s">
        <v>52</v>
      </c>
      <c r="E79" s="13"/>
      <c r="F79" s="24">
        <f>F33-F77</f>
        <v>12016</v>
      </c>
      <c r="G79" s="50">
        <f t="shared" ref="G79:L79" si="1">+G33-G74</f>
        <v>-893.33333333333212</v>
      </c>
      <c r="H79" s="78">
        <f t="shared" si="1"/>
        <v>-1166.6666666666661</v>
      </c>
      <c r="I79" s="78">
        <f t="shared" si="1"/>
        <v>1150</v>
      </c>
      <c r="J79" s="78">
        <f t="shared" si="1"/>
        <v>7170</v>
      </c>
      <c r="K79" s="78">
        <f t="shared" si="1"/>
        <v>1685</v>
      </c>
      <c r="L79" s="78">
        <f t="shared" si="1"/>
        <v>2730</v>
      </c>
      <c r="M79" s="78">
        <f>+M33-M74</f>
        <v>132</v>
      </c>
      <c r="N79" s="78">
        <f>+N33-N74</f>
        <v>1209</v>
      </c>
      <c r="O79" s="53">
        <f>+G79+H79+I79+J79+L79+M79+K79+N79</f>
        <v>12016.000000000002</v>
      </c>
    </row>
    <row r="80" spans="2:15" ht="15.95" customHeight="1" x14ac:dyDescent="0.25">
      <c r="B80" s="23"/>
      <c r="C80" t="s">
        <v>210</v>
      </c>
      <c r="D80" s="21">
        <v>0</v>
      </c>
      <c r="E80" s="13"/>
      <c r="F80" s="58">
        <f>+D80</f>
        <v>0</v>
      </c>
      <c r="G80" s="55"/>
      <c r="H80" s="13" t="s">
        <v>8</v>
      </c>
      <c r="I80" s="13"/>
      <c r="J80" s="40"/>
      <c r="K80" s="40"/>
      <c r="L80" s="40"/>
      <c r="M80" s="40"/>
      <c r="N80" s="40"/>
      <c r="O80" s="53">
        <f>+O79+D80</f>
        <v>12016.000000000002</v>
      </c>
    </row>
    <row r="81" spans="1:15" ht="15.95" customHeight="1" x14ac:dyDescent="0.25">
      <c r="B81" s="23"/>
      <c r="D81" s="21"/>
      <c r="E81" s="13"/>
      <c r="F81" s="58"/>
      <c r="G81" s="55"/>
      <c r="H81" s="13"/>
      <c r="I81" s="13"/>
      <c r="J81" s="40"/>
      <c r="K81" s="40"/>
      <c r="L81" s="40"/>
      <c r="M81" s="40"/>
      <c r="N81" s="40"/>
      <c r="O81" s="53"/>
    </row>
    <row r="82" spans="1:15" ht="15.95" customHeight="1" x14ac:dyDescent="0.25">
      <c r="A82" s="23"/>
      <c r="B82" s="23" t="s">
        <v>211</v>
      </c>
      <c r="D82" s="21">
        <v>8000</v>
      </c>
      <c r="E82" s="13"/>
      <c r="F82" s="58">
        <f>-D82</f>
        <v>-8000</v>
      </c>
      <c r="G82" s="55"/>
      <c r="H82" s="63">
        <f>-0.65*D82</f>
        <v>-5200</v>
      </c>
      <c r="I82" s="63" t="s">
        <v>8</v>
      </c>
      <c r="J82" s="40">
        <f>-0.25*D82</f>
        <v>-2000</v>
      </c>
      <c r="K82" s="40"/>
      <c r="M82" s="40">
        <f>-0.1*D82</f>
        <v>-800</v>
      </c>
      <c r="N82" s="40"/>
      <c r="O82" s="64">
        <f>-D82</f>
        <v>-8000</v>
      </c>
    </row>
    <row r="83" spans="1:15" ht="15.95" customHeight="1" x14ac:dyDescent="0.25">
      <c r="A83" s="23"/>
      <c r="B83" s="23"/>
      <c r="D83" s="21"/>
      <c r="E83" s="13"/>
      <c r="F83" s="58"/>
      <c r="G83" s="55"/>
      <c r="H83" s="13"/>
      <c r="I83" s="13"/>
      <c r="J83" s="40"/>
      <c r="K83" s="40"/>
      <c r="L83" s="40"/>
      <c r="M83" s="40"/>
      <c r="N83" s="40"/>
      <c r="O83" s="53"/>
    </row>
    <row r="84" spans="1:15" ht="15.95" customHeight="1" x14ac:dyDescent="0.25">
      <c r="A84" s="23"/>
      <c r="B84" s="23" t="s">
        <v>274</v>
      </c>
      <c r="D84" s="21"/>
      <c r="E84" s="13"/>
      <c r="F84" s="58">
        <f>+F79++F80+F82</f>
        <v>4016</v>
      </c>
      <c r="G84" s="20">
        <f>+G79+G80-G82</f>
        <v>-893.33333333333212</v>
      </c>
      <c r="H84" s="20">
        <f>+H79+H82</f>
        <v>-6366.6666666666661</v>
      </c>
      <c r="I84" s="20">
        <f>+I79</f>
        <v>1150</v>
      </c>
      <c r="J84" s="20">
        <f>+J79+J80+J82</f>
        <v>5170</v>
      </c>
      <c r="K84" s="20">
        <f>+K79+K80+K82</f>
        <v>1685</v>
      </c>
      <c r="L84" s="20">
        <f>+L79+L80+L82</f>
        <v>2730</v>
      </c>
      <c r="M84" s="20">
        <f>+M79+M80+M82</f>
        <v>-668</v>
      </c>
      <c r="N84" s="20">
        <f>N79-N82</f>
        <v>1209</v>
      </c>
      <c r="O84" s="53">
        <f>+O80+O82</f>
        <v>4016.0000000000018</v>
      </c>
    </row>
    <row r="85" spans="1:15" ht="15.95" customHeight="1" x14ac:dyDescent="0.25">
      <c r="E85" s="13"/>
      <c r="F85" s="59"/>
    </row>
    <row r="86" spans="1:15" ht="15.95" customHeight="1" x14ac:dyDescent="0.25">
      <c r="B86" t="s">
        <v>354</v>
      </c>
      <c r="E86" s="13">
        <f>Equipment!D15*1.1</f>
        <v>22000</v>
      </c>
      <c r="F86" s="59"/>
    </row>
    <row r="87" spans="1:15" ht="15.95" customHeight="1" x14ac:dyDescent="0.25">
      <c r="B87" t="s">
        <v>355</v>
      </c>
      <c r="E87" s="13">
        <f>Equipment!D16+Equipment!D17+Equipment!D18+1000</f>
        <v>15000</v>
      </c>
      <c r="F87" s="59"/>
    </row>
    <row r="88" spans="1:15" ht="15.95" customHeight="1" x14ac:dyDescent="0.25">
      <c r="B88" s="19" t="s">
        <v>51</v>
      </c>
      <c r="E88" s="20">
        <f>SUM(E86:E87)</f>
        <v>37000</v>
      </c>
      <c r="F88" s="59"/>
    </row>
    <row r="89" spans="1:15" ht="15.95" customHeight="1" x14ac:dyDescent="0.25">
      <c r="B89" t="s">
        <v>352</v>
      </c>
      <c r="E89" s="20">
        <f>Equipment!D26+500</f>
        <v>-12000</v>
      </c>
      <c r="F89" s="59"/>
    </row>
    <row r="90" spans="1:15" ht="15.95" customHeight="1" x14ac:dyDescent="0.25">
      <c r="A90" s="19"/>
      <c r="B90" s="19"/>
      <c r="E90" s="13"/>
    </row>
    <row r="91" spans="1:15" ht="15.95" customHeight="1" x14ac:dyDescent="0.25">
      <c r="B91" t="s">
        <v>256</v>
      </c>
      <c r="E91" s="13"/>
      <c r="F91" s="58">
        <f>71000+F79-E88-E89</f>
        <v>58016</v>
      </c>
    </row>
    <row r="92" spans="1:15" ht="15.95" customHeight="1" x14ac:dyDescent="0.25">
      <c r="A92" s="43"/>
      <c r="B92" s="23" t="s">
        <v>187</v>
      </c>
      <c r="C92" s="22" t="s">
        <v>188</v>
      </c>
      <c r="D92" s="22" t="s">
        <v>189</v>
      </c>
      <c r="E92" s="13"/>
      <c r="F92" s="21"/>
    </row>
    <row r="93" spans="1:15" ht="15.95" customHeight="1" x14ac:dyDescent="0.25">
      <c r="A93" s="30" t="s">
        <v>251</v>
      </c>
      <c r="B93" s="30">
        <v>4000</v>
      </c>
      <c r="C93" s="30">
        <v>5500</v>
      </c>
      <c r="D93" s="30">
        <v>5500</v>
      </c>
      <c r="E93" s="37">
        <f>+SUM(B93:D93)</f>
        <v>15000</v>
      </c>
      <c r="F93" s="13" t="s">
        <v>8</v>
      </c>
      <c r="G93" s="30" t="s">
        <v>8</v>
      </c>
      <c r="H93" s="98">
        <f>D93/19</f>
        <v>289.4736842105263</v>
      </c>
    </row>
    <row r="94" spans="1:15" ht="15.95" customHeight="1" x14ac:dyDescent="0.25">
      <c r="A94" t="s">
        <v>255</v>
      </c>
      <c r="C94">
        <v>5000</v>
      </c>
      <c r="D94" t="s">
        <v>8</v>
      </c>
      <c r="E94" s="13">
        <f t="shared" ref="E94:E99" si="2">SUM(B94:D94)</f>
        <v>5000</v>
      </c>
      <c r="F94" s="13" t="s">
        <v>8</v>
      </c>
    </row>
    <row r="95" spans="1:15" ht="15.95" customHeight="1" x14ac:dyDescent="0.25">
      <c r="A95" t="s">
        <v>252</v>
      </c>
      <c r="B95">
        <v>1000</v>
      </c>
      <c r="C95">
        <v>2500</v>
      </c>
      <c r="D95" t="s">
        <v>8</v>
      </c>
      <c r="E95" s="13">
        <v>3500</v>
      </c>
      <c r="F95" s="13" t="s">
        <v>8</v>
      </c>
    </row>
    <row r="96" spans="1:15" ht="15.95" customHeight="1" x14ac:dyDescent="0.25">
      <c r="A96" t="s">
        <v>190</v>
      </c>
      <c r="B96">
        <v>250</v>
      </c>
      <c r="C96">
        <v>750</v>
      </c>
      <c r="E96" s="13">
        <f t="shared" si="2"/>
        <v>1000</v>
      </c>
      <c r="F96" s="13" t="s">
        <v>8</v>
      </c>
    </row>
    <row r="97" spans="1:15" ht="15.95" customHeight="1" x14ac:dyDescent="0.25">
      <c r="A97" t="s">
        <v>253</v>
      </c>
      <c r="B97">
        <v>500</v>
      </c>
      <c r="E97" s="13">
        <f t="shared" si="2"/>
        <v>500</v>
      </c>
      <c r="F97" s="13" t="s">
        <v>8</v>
      </c>
    </row>
    <row r="98" spans="1:15" ht="15.95" customHeight="1" x14ac:dyDescent="0.25">
      <c r="A98" t="s">
        <v>192</v>
      </c>
      <c r="B98">
        <v>1500</v>
      </c>
      <c r="E98" s="13">
        <f t="shared" si="2"/>
        <v>1500</v>
      </c>
      <c r="F98" s="13" t="s">
        <v>8</v>
      </c>
    </row>
    <row r="99" spans="1:15" ht="15.95" customHeight="1" x14ac:dyDescent="0.25">
      <c r="A99" t="s">
        <v>254</v>
      </c>
      <c r="B99">
        <v>350</v>
      </c>
      <c r="E99" s="13">
        <f t="shared" si="2"/>
        <v>350</v>
      </c>
      <c r="F99" s="13" t="s">
        <v>8</v>
      </c>
    </row>
    <row r="100" spans="1:15" ht="15.95" customHeight="1" x14ac:dyDescent="0.25">
      <c r="A100" t="s">
        <v>348</v>
      </c>
      <c r="B100">
        <v>1000</v>
      </c>
      <c r="E100" s="13">
        <v>1000</v>
      </c>
      <c r="F100" s="13" t="s">
        <v>8</v>
      </c>
    </row>
    <row r="101" spans="1:15" ht="15.95" customHeight="1" x14ac:dyDescent="0.25">
      <c r="A101" t="s">
        <v>258</v>
      </c>
      <c r="B101">
        <v>1000</v>
      </c>
      <c r="C101">
        <v>1000</v>
      </c>
      <c r="D101" t="s">
        <v>8</v>
      </c>
      <c r="E101" s="13">
        <v>2000</v>
      </c>
      <c r="F101" s="13" t="s">
        <v>8</v>
      </c>
    </row>
    <row r="102" spans="1:15" ht="15.95" customHeight="1" x14ac:dyDescent="0.25">
      <c r="A102" s="22"/>
      <c r="B102">
        <f>+SUM(B93:B101)</f>
        <v>9600</v>
      </c>
      <c r="C102">
        <f>+SUM(C93:C101)</f>
        <v>14750</v>
      </c>
      <c r="D102">
        <f>+SUM(D93:D101)</f>
        <v>5500</v>
      </c>
      <c r="E102" s="13">
        <f>SUM(E93:E101)</f>
        <v>29850</v>
      </c>
      <c r="F102" s="21" t="s">
        <v>8</v>
      </c>
    </row>
    <row r="103" spans="1:15" ht="15.95" customHeight="1" x14ac:dyDescent="0.25">
      <c r="A103" s="22"/>
      <c r="E103" s="13"/>
      <c r="F103" s="21"/>
    </row>
    <row r="104" spans="1:15" ht="15.95" customHeight="1" x14ac:dyDescent="0.25">
      <c r="A104" t="s">
        <v>275</v>
      </c>
      <c r="B104" s="44">
        <f>B102/(D4+D7+D8+D23)</f>
        <v>135.21126760563379</v>
      </c>
      <c r="E104" s="13"/>
      <c r="F104" s="21"/>
    </row>
    <row r="105" spans="1:15" ht="15.95" customHeight="1" x14ac:dyDescent="0.25">
      <c r="A105" t="s">
        <v>276</v>
      </c>
      <c r="B105" s="44">
        <f>B102/(D4+D7+D8+D12+D23)</f>
        <v>115.66265060240964</v>
      </c>
      <c r="E105" s="13"/>
      <c r="F105" s="21"/>
    </row>
    <row r="106" spans="1:15" ht="15.95" customHeight="1" x14ac:dyDescent="0.25">
      <c r="E106" s="13"/>
      <c r="F106" s="21"/>
    </row>
    <row r="107" spans="1:15" ht="15.95" customHeight="1" x14ac:dyDescent="0.4">
      <c r="E107" s="13"/>
      <c r="F107" s="82" t="s">
        <v>240</v>
      </c>
      <c r="G107" s="81" t="s">
        <v>199</v>
      </c>
      <c r="H107" s="45" t="s">
        <v>200</v>
      </c>
      <c r="I107" s="45" t="s">
        <v>201</v>
      </c>
      <c r="J107" s="45" t="s">
        <v>139</v>
      </c>
      <c r="K107" s="45" t="s">
        <v>134</v>
      </c>
      <c r="L107" s="45" t="s">
        <v>202</v>
      </c>
      <c r="M107" s="45" t="s">
        <v>203</v>
      </c>
      <c r="N107" s="45" t="s">
        <v>350</v>
      </c>
      <c r="O107" s="45" t="s">
        <v>213</v>
      </c>
    </row>
    <row r="108" spans="1:15" ht="15.95" customHeight="1" x14ac:dyDescent="0.4">
      <c r="E108" s="13"/>
      <c r="F108" s="82"/>
      <c r="G108" s="81"/>
      <c r="H108" s="45"/>
      <c r="I108" s="45"/>
      <c r="J108" s="45"/>
      <c r="K108" s="45"/>
      <c r="L108" s="45"/>
      <c r="M108" s="45"/>
      <c r="N108" s="45"/>
      <c r="O108" s="45"/>
    </row>
    <row r="109" spans="1:15" ht="15.95" customHeight="1" x14ac:dyDescent="0.25">
      <c r="E109" s="13"/>
      <c r="F109" s="21" t="s">
        <v>239</v>
      </c>
      <c r="G109" s="68">
        <f>+G33</f>
        <v>8706.6666666666679</v>
      </c>
      <c r="H109" s="80">
        <f t="shared" ref="H109:O109" si="3">+H33</f>
        <v>13583.333333333334</v>
      </c>
      <c r="I109" s="80">
        <f t="shared" si="3"/>
        <v>6650</v>
      </c>
      <c r="J109" s="80">
        <f t="shared" si="3"/>
        <v>13120</v>
      </c>
      <c r="K109" s="80">
        <f t="shared" si="3"/>
        <v>3600</v>
      </c>
      <c r="L109" s="80">
        <f t="shared" si="3"/>
        <v>6000</v>
      </c>
      <c r="M109" s="99">
        <f>+M33</f>
        <v>8950</v>
      </c>
      <c r="N109" s="68">
        <f>+N33</f>
        <v>8100</v>
      </c>
      <c r="O109" s="80">
        <f t="shared" si="3"/>
        <v>68710</v>
      </c>
    </row>
    <row r="110" spans="1:15" ht="15.95" customHeight="1" x14ac:dyDescent="0.25">
      <c r="E110" s="13"/>
      <c r="F110" s="21" t="s">
        <v>241</v>
      </c>
      <c r="G110" s="80">
        <f>+G74</f>
        <v>9600</v>
      </c>
      <c r="H110" s="80">
        <f t="shared" ref="H110:N110" si="4">+H74</f>
        <v>14750</v>
      </c>
      <c r="I110" s="80">
        <f t="shared" si="4"/>
        <v>5500</v>
      </c>
      <c r="J110" s="80">
        <f t="shared" si="4"/>
        <v>5950</v>
      </c>
      <c r="K110" s="80">
        <f t="shared" si="4"/>
        <v>1915</v>
      </c>
      <c r="L110" s="80">
        <f t="shared" si="4"/>
        <v>3270</v>
      </c>
      <c r="M110" s="80">
        <f t="shared" si="4"/>
        <v>8818</v>
      </c>
      <c r="N110" s="80">
        <f t="shared" si="4"/>
        <v>6891</v>
      </c>
      <c r="O110" s="80">
        <f>+O76</f>
        <v>56694</v>
      </c>
    </row>
    <row r="111" spans="1:15" ht="15.95" customHeight="1" x14ac:dyDescent="0.25">
      <c r="E111" s="13"/>
      <c r="F111" s="21"/>
      <c r="G111" s="80"/>
      <c r="H111" s="80"/>
      <c r="I111" s="80"/>
      <c r="J111" s="80"/>
      <c r="K111" s="80"/>
      <c r="L111" s="80"/>
      <c r="M111" s="80"/>
      <c r="N111" s="80"/>
      <c r="O111" s="80"/>
    </row>
    <row r="112" spans="1:15" ht="15.95" customHeight="1" x14ac:dyDescent="0.25">
      <c r="E112" s="13"/>
      <c r="F112" s="21" t="s">
        <v>242</v>
      </c>
      <c r="G112" s="80">
        <f t="shared" ref="G112:O112" si="5">+G109-G110</f>
        <v>-893.33333333333212</v>
      </c>
      <c r="H112" s="80">
        <f t="shared" si="5"/>
        <v>-1166.6666666666661</v>
      </c>
      <c r="I112" s="80">
        <f t="shared" si="5"/>
        <v>1150</v>
      </c>
      <c r="J112" s="80">
        <f>+J109-J110</f>
        <v>7170</v>
      </c>
      <c r="K112" s="80">
        <f t="shared" si="5"/>
        <v>1685</v>
      </c>
      <c r="L112" s="80">
        <f t="shared" si="5"/>
        <v>2730</v>
      </c>
      <c r="M112" s="80">
        <f t="shared" si="5"/>
        <v>132</v>
      </c>
      <c r="N112" s="80">
        <f t="shared" si="5"/>
        <v>1209</v>
      </c>
      <c r="O112" s="80">
        <f t="shared" si="5"/>
        <v>12016</v>
      </c>
    </row>
    <row r="113" spans="5:15" ht="15.95" customHeight="1" x14ac:dyDescent="0.25">
      <c r="E113" s="13"/>
      <c r="F113" s="21"/>
      <c r="G113" s="80"/>
      <c r="H113" s="80"/>
      <c r="I113" s="80"/>
      <c r="J113" s="80"/>
      <c r="K113" s="80"/>
      <c r="L113" s="80"/>
      <c r="M113" s="80"/>
      <c r="N113" s="80"/>
      <c r="O113" s="80"/>
    </row>
    <row r="114" spans="5:15" ht="15.95" customHeight="1" x14ac:dyDescent="0.25">
      <c r="E114" s="13"/>
      <c r="F114" s="21" t="s">
        <v>278</v>
      </c>
      <c r="G114" s="80"/>
      <c r="H114" s="80">
        <f>+H82</f>
        <v>-5200</v>
      </c>
      <c r="I114" s="80"/>
      <c r="J114" s="80">
        <f>+J82</f>
        <v>-2000</v>
      </c>
      <c r="K114" s="80"/>
      <c r="L114" s="80"/>
      <c r="M114" s="80">
        <f>+M82</f>
        <v>-800</v>
      </c>
      <c r="N114" s="80"/>
      <c r="O114" s="80">
        <f>+H114+J114+M114</f>
        <v>-8000</v>
      </c>
    </row>
    <row r="115" spans="5:15" ht="15.95" customHeight="1" x14ac:dyDescent="0.25">
      <c r="E115" s="13"/>
      <c r="F115" s="21"/>
      <c r="G115" s="80"/>
      <c r="H115" s="80"/>
      <c r="I115" s="80"/>
      <c r="J115" s="80"/>
      <c r="K115" s="80"/>
      <c r="L115" s="80"/>
      <c r="M115" s="80"/>
      <c r="N115" s="80"/>
      <c r="O115" s="80"/>
    </row>
    <row r="116" spans="5:15" ht="15.95" customHeight="1" x14ac:dyDescent="0.25">
      <c r="E116" s="13"/>
      <c r="F116" s="21" t="s">
        <v>244</v>
      </c>
      <c r="G116" s="80">
        <f>+G112</f>
        <v>-893.33333333333212</v>
      </c>
      <c r="H116" s="80">
        <f>+H112+H114</f>
        <v>-6366.6666666666661</v>
      </c>
      <c r="I116" s="80">
        <f>+I112+I114</f>
        <v>1150</v>
      </c>
      <c r="J116" s="80">
        <f>+J112+J114</f>
        <v>5170</v>
      </c>
      <c r="K116" s="80">
        <f>+K112+K114</f>
        <v>1685</v>
      </c>
      <c r="L116" s="80">
        <f>+L112+M114</f>
        <v>1930</v>
      </c>
      <c r="M116" s="80">
        <f>+M112+M114</f>
        <v>-668</v>
      </c>
      <c r="N116" s="80">
        <f>+N112+N114</f>
        <v>1209</v>
      </c>
      <c r="O116" s="80">
        <f>+O112+O114</f>
        <v>4016</v>
      </c>
    </row>
    <row r="117" spans="5:15" ht="15.95" customHeight="1" x14ac:dyDescent="0.25">
      <c r="E117" s="13"/>
      <c r="F117" s="21" t="s">
        <v>245</v>
      </c>
      <c r="H117" s="68">
        <f>+D80</f>
        <v>0</v>
      </c>
      <c r="O117" s="68">
        <f>+H117</f>
        <v>0</v>
      </c>
    </row>
    <row r="118" spans="5:15" ht="15.95" customHeight="1" x14ac:dyDescent="0.25">
      <c r="E118" s="13"/>
      <c r="F118" s="21"/>
    </row>
    <row r="119" spans="5:15" ht="15.95" customHeight="1" x14ac:dyDescent="0.25">
      <c r="E119" s="13"/>
      <c r="F119" s="21" t="s">
        <v>246</v>
      </c>
      <c r="G119" s="40" t="s">
        <v>8</v>
      </c>
      <c r="H119" s="69" t="s">
        <v>8</v>
      </c>
      <c r="O119" s="69">
        <f>+O116+O117</f>
        <v>4016</v>
      </c>
    </row>
  </sheetData>
  <phoneticPr fontId="21" type="noConversion"/>
  <printOptions horizontalCentered="1" gridLines="1"/>
  <pageMargins left="0.25" right="0.25" top="0.75" bottom="0.5" header="0.5" footer="0.5"/>
  <pageSetup scale="56" orientation="landscape" horizontalDpi="300" verticalDpi="300"/>
  <headerFooter alignWithMargins="0">
    <oddHeader>&amp;L&amp;D&amp;R2012 Program budget</oddHeader>
    <oddFooter>&amp;LJWB&amp;RDiscussion Draft  Budget</oddFooter>
  </headerFooter>
  <rowBreaks count="2" manualBreakCount="2">
    <brk id="34" max="16383" man="1"/>
    <brk id="91" max="16383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4"/>
  <sheetViews>
    <sheetView topLeftCell="C1" workbookViewId="0">
      <pane ySplit="900" topLeftCell="A24" activePane="bottomLeft"/>
      <selection activeCell="K1" sqref="K1"/>
      <selection pane="bottomLeft" activeCell="N33" sqref="N33"/>
    </sheetView>
  </sheetViews>
  <sheetFormatPr defaultColWidth="8.85546875" defaultRowHeight="15" x14ac:dyDescent="0.25"/>
  <cols>
    <col min="1" max="1" width="12.7109375" bestFit="1" customWidth="1"/>
    <col min="2" max="2" width="34" bestFit="1" customWidth="1"/>
    <col min="3" max="3" width="22.42578125" customWidth="1"/>
    <col min="4" max="4" width="8" customWidth="1"/>
    <col min="5" max="5" width="8.28515625" customWidth="1"/>
    <col min="6" max="6" width="14.85546875" bestFit="1" customWidth="1"/>
    <col min="7" max="7" width="9" customWidth="1"/>
    <col min="8" max="8" width="12" customWidth="1"/>
    <col min="9" max="9" width="8" customWidth="1"/>
    <col min="10" max="10" width="11.28515625" bestFit="1" customWidth="1"/>
    <col min="11" max="11" width="10.42578125" customWidth="1"/>
    <col min="12" max="12" width="10.42578125" bestFit="1" customWidth="1"/>
    <col min="13" max="13" width="8.7109375" customWidth="1"/>
    <col min="14" max="14" width="9" customWidth="1"/>
  </cols>
  <sheetData>
    <row r="1" spans="1:15" x14ac:dyDescent="0.25">
      <c r="A1" s="19" t="s">
        <v>248</v>
      </c>
      <c r="D1" s="2" t="s">
        <v>6</v>
      </c>
      <c r="E1" s="13"/>
      <c r="F1" s="21"/>
      <c r="G1" s="46" t="s">
        <v>199</v>
      </c>
      <c r="H1" s="45" t="s">
        <v>200</v>
      </c>
      <c r="I1" s="45" t="s">
        <v>201</v>
      </c>
      <c r="J1" s="45" t="s">
        <v>139</v>
      </c>
      <c r="K1" s="45" t="s">
        <v>134</v>
      </c>
      <c r="L1" s="45" t="s">
        <v>202</v>
      </c>
      <c r="M1" s="45" t="s">
        <v>203</v>
      </c>
      <c r="N1" s="45" t="s">
        <v>213</v>
      </c>
    </row>
    <row r="2" spans="1:15" x14ac:dyDescent="0.25">
      <c r="A2" s="60"/>
      <c r="B2" t="s">
        <v>257</v>
      </c>
      <c r="E2" s="13"/>
      <c r="F2" s="21">
        <v>48700</v>
      </c>
      <c r="G2" s="47"/>
      <c r="N2" s="52"/>
    </row>
    <row r="3" spans="1:15" x14ac:dyDescent="0.25">
      <c r="A3" s="60"/>
      <c r="E3" s="13"/>
      <c r="F3" s="21"/>
      <c r="G3" s="47"/>
      <c r="N3" s="52"/>
    </row>
    <row r="4" spans="1:15" x14ac:dyDescent="0.25">
      <c r="B4" s="66" t="s">
        <v>31</v>
      </c>
      <c r="C4" s="67">
        <v>350</v>
      </c>
      <c r="D4" s="66">
        <v>45</v>
      </c>
      <c r="E4" s="35">
        <f>C4*D4</f>
        <v>15750</v>
      </c>
      <c r="F4" s="21"/>
      <c r="G4" s="48">
        <f>100*D4*1.15</f>
        <v>5175</v>
      </c>
      <c r="H4" s="21">
        <f>250*D4</f>
        <v>11250</v>
      </c>
      <c r="N4" s="62">
        <f>SUM(G4:M4)</f>
        <v>16425</v>
      </c>
      <c r="O4" t="s">
        <v>249</v>
      </c>
    </row>
    <row r="5" spans="1:15" x14ac:dyDescent="0.25">
      <c r="B5" s="71" t="s">
        <v>259</v>
      </c>
      <c r="C5" s="67"/>
      <c r="D5" s="66"/>
      <c r="E5" s="20">
        <f>+N4-E4</f>
        <v>675</v>
      </c>
      <c r="F5" s="21"/>
      <c r="G5" s="48" t="s">
        <v>8</v>
      </c>
      <c r="H5" s="21"/>
      <c r="N5" s="62"/>
    </row>
    <row r="6" spans="1:15" x14ac:dyDescent="0.25">
      <c r="B6" s="66" t="s">
        <v>237</v>
      </c>
      <c r="C6" s="67">
        <v>100</v>
      </c>
      <c r="D6" s="66">
        <v>4</v>
      </c>
      <c r="E6" s="35">
        <f>D6*C6</f>
        <v>400</v>
      </c>
      <c r="F6" s="21"/>
      <c r="G6" s="48">
        <f>E6</f>
        <v>400</v>
      </c>
      <c r="H6" s="21"/>
      <c r="N6" s="52"/>
    </row>
    <row r="7" spans="1:15" x14ac:dyDescent="0.25">
      <c r="B7" s="22" t="s">
        <v>32</v>
      </c>
      <c r="C7" s="1">
        <v>100</v>
      </c>
      <c r="D7">
        <v>8</v>
      </c>
      <c r="E7" s="13">
        <f>C7*D7</f>
        <v>800</v>
      </c>
      <c r="F7" s="21"/>
      <c r="G7" s="49">
        <f>((D7*C7)/3)</f>
        <v>266.66666666666669</v>
      </c>
      <c r="H7" s="1">
        <f>((D7*C7)/3)*2</f>
        <v>533.33333333333337</v>
      </c>
      <c r="N7" s="52"/>
    </row>
    <row r="8" spans="1:15" x14ac:dyDescent="0.25">
      <c r="B8" t="s">
        <v>224</v>
      </c>
      <c r="C8" s="1">
        <v>150</v>
      </c>
      <c r="D8">
        <v>10</v>
      </c>
      <c r="E8" s="13">
        <f>D8*C8</f>
        <v>1500</v>
      </c>
      <c r="F8" s="21"/>
      <c r="G8" s="49">
        <f>((D8*C8)/3)*2</f>
        <v>1000</v>
      </c>
      <c r="H8" s="1">
        <f>(D8*C8)/3</f>
        <v>500</v>
      </c>
      <c r="N8" s="52"/>
    </row>
    <row r="9" spans="1:15" x14ac:dyDescent="0.25">
      <c r="B9" s="22" t="s">
        <v>277</v>
      </c>
      <c r="C9" s="1"/>
      <c r="E9" s="13"/>
      <c r="F9" s="21">
        <f>SUM(E4:E8)</f>
        <v>19125</v>
      </c>
      <c r="G9" s="49"/>
      <c r="H9" s="1"/>
      <c r="N9" s="52"/>
    </row>
    <row r="10" spans="1:15" x14ac:dyDescent="0.25">
      <c r="B10" t="s">
        <v>238</v>
      </c>
      <c r="C10" s="1">
        <v>350</v>
      </c>
      <c r="D10" s="30">
        <v>19</v>
      </c>
      <c r="E10" s="13">
        <f>D10*C10</f>
        <v>6650</v>
      </c>
      <c r="F10" s="21"/>
      <c r="G10" s="47"/>
      <c r="I10" s="1">
        <f>D10*C10</f>
        <v>6650</v>
      </c>
      <c r="N10" s="52"/>
    </row>
    <row r="11" spans="1:15" x14ac:dyDescent="0.25">
      <c r="B11" t="s">
        <v>235</v>
      </c>
      <c r="C11" s="1">
        <v>200</v>
      </c>
      <c r="D11">
        <v>16</v>
      </c>
      <c r="E11" s="13">
        <f>D11*C11</f>
        <v>3200</v>
      </c>
      <c r="F11" s="21"/>
      <c r="G11" s="47"/>
      <c r="J11" s="1">
        <f>D11*C11</f>
        <v>3200</v>
      </c>
      <c r="K11" s="1"/>
      <c r="N11" s="52"/>
    </row>
    <row r="12" spans="1:15" x14ac:dyDescent="0.25">
      <c r="B12" t="s">
        <v>236</v>
      </c>
      <c r="C12" s="1">
        <v>200</v>
      </c>
      <c r="D12">
        <v>12</v>
      </c>
      <c r="E12" s="13">
        <f>D12*C12</f>
        <v>2400</v>
      </c>
      <c r="F12" s="21"/>
      <c r="G12" s="47"/>
      <c r="J12" s="1">
        <f>D12*C12</f>
        <v>2400</v>
      </c>
      <c r="K12" s="1"/>
      <c r="N12" s="52"/>
    </row>
    <row r="13" spans="1:15" x14ac:dyDescent="0.25">
      <c r="B13" s="22" t="s">
        <v>34</v>
      </c>
      <c r="C13" s="42">
        <v>65</v>
      </c>
      <c r="D13">
        <v>8</v>
      </c>
      <c r="E13" s="13">
        <f>D13*C13</f>
        <v>520</v>
      </c>
      <c r="F13" s="21"/>
      <c r="G13" s="49">
        <f>((D13*C13)/3)</f>
        <v>173.33333333333334</v>
      </c>
      <c r="H13" s="1">
        <f>((D13*C13)/3)*2</f>
        <v>346.66666666666669</v>
      </c>
      <c r="N13" s="52"/>
    </row>
    <row r="14" spans="1:15" x14ac:dyDescent="0.25">
      <c r="B14" s="22" t="s">
        <v>270</v>
      </c>
      <c r="C14" s="42">
        <v>160</v>
      </c>
      <c r="D14">
        <v>6</v>
      </c>
      <c r="E14" s="13">
        <f>D14*C14*2</f>
        <v>1920</v>
      </c>
      <c r="F14" s="21"/>
      <c r="G14" s="49"/>
      <c r="H14" s="1"/>
      <c r="J14" s="13">
        <f>+E14</f>
        <v>1920</v>
      </c>
      <c r="K14" s="13"/>
      <c r="N14" s="52"/>
    </row>
    <row r="15" spans="1:15" x14ac:dyDescent="0.25">
      <c r="B15" s="23" t="s">
        <v>45</v>
      </c>
      <c r="C15" s="1"/>
      <c r="E15" s="20">
        <f>SUM(E4:E14)</f>
        <v>33815</v>
      </c>
      <c r="F15" s="21"/>
      <c r="G15" s="50">
        <f>SUM(G4:G13)</f>
        <v>7015</v>
      </c>
      <c r="H15" s="20">
        <f>SUM(H4:H13)</f>
        <v>12630</v>
      </c>
      <c r="I15" s="20">
        <f>SUM(I4:I13)</f>
        <v>6650</v>
      </c>
      <c r="J15" s="20">
        <f>SUM(J11:J14)</f>
        <v>7520</v>
      </c>
      <c r="K15" s="20"/>
      <c r="N15" s="53">
        <f>+G15+H15+I15+J15</f>
        <v>33815</v>
      </c>
    </row>
    <row r="16" spans="1:15" x14ac:dyDescent="0.25">
      <c r="B16" s="23"/>
      <c r="C16" s="1"/>
      <c r="E16" s="13"/>
      <c r="F16" s="21"/>
      <c r="G16" s="47"/>
      <c r="N16" s="52"/>
    </row>
    <row r="17" spans="2:14" x14ac:dyDescent="0.25">
      <c r="B17" t="s">
        <v>36</v>
      </c>
      <c r="E17" s="13"/>
      <c r="F17" s="21"/>
      <c r="G17" s="47"/>
      <c r="N17" s="52"/>
    </row>
    <row r="18" spans="2:14" x14ac:dyDescent="0.25">
      <c r="B18" s="22" t="s">
        <v>131</v>
      </c>
      <c r="C18" s="21">
        <v>80</v>
      </c>
      <c r="D18">
        <v>10</v>
      </c>
      <c r="E18" s="13">
        <f t="shared" ref="E18:E29" si="0">D18*C18</f>
        <v>800</v>
      </c>
      <c r="F18" s="21"/>
      <c r="G18" s="47"/>
      <c r="I18" t="s">
        <v>8</v>
      </c>
      <c r="L18" s="13">
        <f>+E18+E19+E20+E21</f>
        <v>3200</v>
      </c>
      <c r="M18" s="13">
        <f>+E24+E26-(G24+G26)</f>
        <v>8950</v>
      </c>
      <c r="N18" s="52"/>
    </row>
    <row r="19" spans="2:14" x14ac:dyDescent="0.25">
      <c r="B19" s="22" t="s">
        <v>132</v>
      </c>
      <c r="C19" s="21">
        <v>80</v>
      </c>
      <c r="D19">
        <v>10</v>
      </c>
      <c r="E19" s="13">
        <f t="shared" si="0"/>
        <v>800</v>
      </c>
      <c r="F19" s="21"/>
      <c r="G19" s="47"/>
      <c r="H19" t="s">
        <v>8</v>
      </c>
      <c r="I19" t="s">
        <v>8</v>
      </c>
      <c r="N19" s="52"/>
    </row>
    <row r="20" spans="2:14" x14ac:dyDescent="0.25">
      <c r="B20" s="22" t="s">
        <v>133</v>
      </c>
      <c r="C20" s="21">
        <v>80</v>
      </c>
      <c r="D20">
        <v>10</v>
      </c>
      <c r="E20" s="13">
        <f t="shared" si="0"/>
        <v>800</v>
      </c>
      <c r="F20" s="21"/>
      <c r="G20" s="47"/>
      <c r="N20" s="52"/>
    </row>
    <row r="21" spans="2:14" x14ac:dyDescent="0.25">
      <c r="B21" s="22" t="s">
        <v>273</v>
      </c>
      <c r="C21" s="21">
        <v>80</v>
      </c>
      <c r="D21">
        <v>10</v>
      </c>
      <c r="E21" s="13">
        <f t="shared" si="0"/>
        <v>800</v>
      </c>
      <c r="F21" s="21"/>
      <c r="G21" s="47"/>
      <c r="N21" s="52"/>
    </row>
    <row r="22" spans="2:14" x14ac:dyDescent="0.25">
      <c r="B22" s="22" t="s">
        <v>226</v>
      </c>
      <c r="C22" s="21">
        <v>100</v>
      </c>
      <c r="D22">
        <v>2</v>
      </c>
      <c r="E22" s="13">
        <f>D22*C22</f>
        <v>200</v>
      </c>
      <c r="F22" s="21"/>
      <c r="G22" s="51">
        <f>+E22</f>
        <v>200</v>
      </c>
      <c r="N22" s="52"/>
    </row>
    <row r="23" spans="2:14" x14ac:dyDescent="0.25">
      <c r="B23" s="22" t="s">
        <v>168</v>
      </c>
      <c r="C23" s="41">
        <v>125</v>
      </c>
      <c r="D23">
        <v>1</v>
      </c>
      <c r="E23" s="13">
        <f>D23*C23</f>
        <v>125</v>
      </c>
      <c r="F23" s="21"/>
      <c r="G23" s="47"/>
      <c r="H23" s="13">
        <f>+E23</f>
        <v>125</v>
      </c>
      <c r="N23" s="52"/>
    </row>
    <row r="24" spans="2:14" x14ac:dyDescent="0.25">
      <c r="B24" s="22" t="s">
        <v>37</v>
      </c>
      <c r="C24" s="21">
        <v>660</v>
      </c>
      <c r="D24">
        <v>14</v>
      </c>
      <c r="E24" s="13">
        <f t="shared" si="0"/>
        <v>9240</v>
      </c>
      <c r="F24" s="21"/>
      <c r="G24" s="47">
        <f>100*D24</f>
        <v>1400</v>
      </c>
      <c r="N24" s="52"/>
    </row>
    <row r="25" spans="2:14" x14ac:dyDescent="0.25">
      <c r="B25" s="22" t="s">
        <v>230</v>
      </c>
      <c r="C25" s="21">
        <v>100</v>
      </c>
      <c r="D25">
        <v>1</v>
      </c>
      <c r="E25" s="13">
        <f t="shared" si="0"/>
        <v>100</v>
      </c>
      <c r="F25" s="21"/>
      <c r="G25" s="47"/>
      <c r="H25" s="13">
        <f>+E25</f>
        <v>100</v>
      </c>
      <c r="N25" s="52"/>
    </row>
    <row r="26" spans="2:14" x14ac:dyDescent="0.25">
      <c r="B26" s="22" t="s">
        <v>228</v>
      </c>
      <c r="C26" s="21">
        <v>235</v>
      </c>
      <c r="D26">
        <v>6</v>
      </c>
      <c r="E26" s="13">
        <f t="shared" si="0"/>
        <v>1410</v>
      </c>
      <c r="F26" s="21"/>
      <c r="G26" s="47">
        <f>(100*D26)*0.5</f>
        <v>300</v>
      </c>
      <c r="N26" s="52"/>
    </row>
    <row r="27" spans="2:14" x14ac:dyDescent="0.25">
      <c r="B27" s="22" t="s">
        <v>229</v>
      </c>
      <c r="C27" s="41">
        <v>100</v>
      </c>
      <c r="D27">
        <v>1</v>
      </c>
      <c r="E27" s="13">
        <f t="shared" si="0"/>
        <v>100</v>
      </c>
      <c r="F27" s="21"/>
      <c r="G27" s="51">
        <f>+E27</f>
        <v>100</v>
      </c>
      <c r="N27" s="52"/>
    </row>
    <row r="28" spans="2:14" x14ac:dyDescent="0.25">
      <c r="B28" s="22" t="s">
        <v>134</v>
      </c>
      <c r="C28" s="41">
        <v>300</v>
      </c>
      <c r="D28">
        <v>12</v>
      </c>
      <c r="E28" s="13">
        <f t="shared" si="0"/>
        <v>3600</v>
      </c>
      <c r="F28" s="21"/>
      <c r="G28" s="47"/>
      <c r="K28" s="13">
        <f>+E28</f>
        <v>3600</v>
      </c>
      <c r="N28" s="52"/>
    </row>
    <row r="29" spans="2:14" x14ac:dyDescent="0.25">
      <c r="B29" s="22" t="s">
        <v>175</v>
      </c>
      <c r="C29" s="41">
        <v>65</v>
      </c>
      <c r="D29">
        <v>4</v>
      </c>
      <c r="E29" s="13">
        <f t="shared" si="0"/>
        <v>260</v>
      </c>
      <c r="F29" s="21"/>
      <c r="G29" s="51">
        <f>+E29</f>
        <v>260</v>
      </c>
      <c r="N29" s="52"/>
    </row>
    <row r="30" spans="2:14" x14ac:dyDescent="0.25">
      <c r="B30" s="23" t="s">
        <v>48</v>
      </c>
      <c r="E30" s="20">
        <f>SUM(E18:E29)</f>
        <v>18235</v>
      </c>
      <c r="F30" s="21"/>
      <c r="G30" s="50">
        <f>SUM(G18:G29)</f>
        <v>2260</v>
      </c>
      <c r="H30" s="78">
        <f>SUM(H18:H29)</f>
        <v>225</v>
      </c>
      <c r="K30" s="20">
        <f>SUM(K18:K29)</f>
        <v>3600</v>
      </c>
      <c r="L30" s="20">
        <f>SUM(L18:L29)</f>
        <v>3200</v>
      </c>
      <c r="M30" s="20">
        <f>SUM(M18:M29)</f>
        <v>8950</v>
      </c>
      <c r="N30" s="53">
        <f>+G30+L30+M30+H30+K30</f>
        <v>18235</v>
      </c>
    </row>
    <row r="31" spans="2:14" x14ac:dyDescent="0.25">
      <c r="B31" s="18" t="s">
        <v>166</v>
      </c>
      <c r="E31" s="20">
        <f>Equipment!B15</f>
        <v>0</v>
      </c>
      <c r="F31" s="21"/>
      <c r="G31" s="50"/>
      <c r="N31" s="52"/>
    </row>
    <row r="32" spans="2:14" x14ac:dyDescent="0.25">
      <c r="B32" s="23" t="s">
        <v>49</v>
      </c>
      <c r="E32" s="20"/>
      <c r="F32" s="24">
        <f>E30+E15+E31</f>
        <v>52050</v>
      </c>
      <c r="G32" s="50">
        <f>+G30+G15</f>
        <v>9275</v>
      </c>
      <c r="H32" s="20">
        <f>+H15+H30</f>
        <v>12855</v>
      </c>
      <c r="I32" s="20">
        <f>+I15</f>
        <v>6650</v>
      </c>
      <c r="J32" s="20">
        <f>+J15</f>
        <v>7520</v>
      </c>
      <c r="K32" s="20">
        <f>+K30</f>
        <v>3600</v>
      </c>
      <c r="L32" s="20">
        <f>+L30</f>
        <v>3200</v>
      </c>
      <c r="M32" s="20">
        <f>+M30</f>
        <v>8950</v>
      </c>
      <c r="N32" s="53">
        <f>+G15+H15+I15+J15+G30+L30+M30+H30+K30</f>
        <v>52050</v>
      </c>
    </row>
    <row r="33" spans="1:14" x14ac:dyDescent="0.25">
      <c r="B33" s="23"/>
      <c r="E33" s="20"/>
      <c r="F33" s="21" t="s">
        <v>8</v>
      </c>
      <c r="G33" s="47"/>
      <c r="N33" s="61" t="s">
        <v>8</v>
      </c>
    </row>
    <row r="34" spans="1:14" x14ac:dyDescent="0.25">
      <c r="A34" s="60"/>
      <c r="E34" s="13"/>
      <c r="F34" s="21"/>
      <c r="G34" s="46" t="s">
        <v>199</v>
      </c>
      <c r="H34" s="45" t="s">
        <v>200</v>
      </c>
      <c r="I34" s="45" t="s">
        <v>201</v>
      </c>
      <c r="J34" s="45" t="s">
        <v>139</v>
      </c>
      <c r="K34" s="45" t="s">
        <v>134</v>
      </c>
      <c r="L34" s="45" t="s">
        <v>202</v>
      </c>
      <c r="M34" s="45" t="s">
        <v>203</v>
      </c>
      <c r="N34" s="56" t="s">
        <v>18</v>
      </c>
    </row>
    <row r="35" spans="1:14" x14ac:dyDescent="0.25">
      <c r="B35" t="s">
        <v>19</v>
      </c>
      <c r="E35" s="13">
        <f>12500+2500</f>
        <v>15000</v>
      </c>
      <c r="F35" s="21"/>
      <c r="G35" s="47"/>
      <c r="N35" s="52"/>
    </row>
    <row r="36" spans="1:14" x14ac:dyDescent="0.25">
      <c r="B36" t="s">
        <v>35</v>
      </c>
      <c r="E36" s="13">
        <v>3000</v>
      </c>
      <c r="F36" s="21"/>
      <c r="G36" s="47"/>
      <c r="N36" s="52"/>
    </row>
    <row r="37" spans="1:14" x14ac:dyDescent="0.25">
      <c r="B37" t="s">
        <v>20</v>
      </c>
      <c r="E37" s="13">
        <v>3000</v>
      </c>
      <c r="F37" s="21"/>
      <c r="G37" s="47"/>
      <c r="I37" t="s">
        <v>8</v>
      </c>
      <c r="N37" s="52"/>
    </row>
    <row r="38" spans="1:14" x14ac:dyDescent="0.25">
      <c r="B38" t="s">
        <v>21</v>
      </c>
      <c r="E38" s="13">
        <v>1300</v>
      </c>
      <c r="F38" s="21"/>
      <c r="G38" s="47"/>
      <c r="N38" s="52"/>
    </row>
    <row r="39" spans="1:14" x14ac:dyDescent="0.25">
      <c r="B39" t="s">
        <v>250</v>
      </c>
      <c r="E39" s="13">
        <v>500</v>
      </c>
      <c r="F39" s="21"/>
      <c r="G39" s="47"/>
      <c r="N39" s="52"/>
    </row>
    <row r="40" spans="1:14" x14ac:dyDescent="0.25">
      <c r="B40" t="s">
        <v>30</v>
      </c>
      <c r="E40" s="13">
        <v>1000</v>
      </c>
      <c r="F40" s="21"/>
      <c r="G40" s="47"/>
      <c r="N40" s="52"/>
    </row>
    <row r="41" spans="1:14" x14ac:dyDescent="0.25">
      <c r="B41" t="s">
        <v>28</v>
      </c>
      <c r="E41" s="13">
        <v>350</v>
      </c>
      <c r="F41" s="21"/>
      <c r="G41" s="47"/>
      <c r="N41" s="52"/>
    </row>
    <row r="42" spans="1:14" x14ac:dyDescent="0.25">
      <c r="B42" t="s">
        <v>29</v>
      </c>
      <c r="E42" s="13">
        <f>250+250+100</f>
        <v>600</v>
      </c>
      <c r="F42" s="21"/>
      <c r="G42" s="47"/>
      <c r="N42" s="52"/>
    </row>
    <row r="43" spans="1:14" x14ac:dyDescent="0.25">
      <c r="B43" t="s">
        <v>267</v>
      </c>
      <c r="E43" s="13">
        <v>2000</v>
      </c>
      <c r="F43" s="21"/>
      <c r="G43" s="47"/>
      <c r="N43" s="52"/>
    </row>
    <row r="44" spans="1:14" x14ac:dyDescent="0.25">
      <c r="C44" s="19" t="s">
        <v>149</v>
      </c>
      <c r="E44" s="20">
        <f>SUM(E35:E43)</f>
        <v>26750</v>
      </c>
      <c r="F44" s="21"/>
      <c r="G44" s="47"/>
      <c r="N44" s="52"/>
    </row>
    <row r="45" spans="1:14" x14ac:dyDescent="0.25">
      <c r="C45" s="19"/>
      <c r="E45" s="20"/>
      <c r="F45" s="21"/>
      <c r="G45" s="47"/>
      <c r="N45" s="52"/>
    </row>
    <row r="46" spans="1:14" x14ac:dyDescent="0.25">
      <c r="B46" t="s">
        <v>205</v>
      </c>
      <c r="E46" s="13"/>
      <c r="F46" s="21"/>
      <c r="G46" s="47">
        <f>+B97</f>
        <v>9750</v>
      </c>
      <c r="H46">
        <f>+C97</f>
        <v>11000</v>
      </c>
      <c r="I46">
        <f>+D97</f>
        <v>6000</v>
      </c>
      <c r="N46" s="57">
        <f>+G46+H46+I46</f>
        <v>26750</v>
      </c>
    </row>
    <row r="47" spans="1:14" x14ac:dyDescent="0.25">
      <c r="B47" t="s">
        <v>39</v>
      </c>
      <c r="E47" s="13"/>
      <c r="F47" s="21"/>
      <c r="G47" s="47"/>
      <c r="N47" s="52"/>
    </row>
    <row r="48" spans="1:14" x14ac:dyDescent="0.25">
      <c r="B48" s="22" t="s">
        <v>40</v>
      </c>
      <c r="E48" s="13">
        <f>D49+D50+D51</f>
        <v>2970</v>
      </c>
      <c r="F48" s="21"/>
      <c r="G48" s="47"/>
      <c r="N48" s="52"/>
    </row>
    <row r="49" spans="2:14" x14ac:dyDescent="0.25">
      <c r="B49" s="22"/>
      <c r="C49" t="s">
        <v>128</v>
      </c>
      <c r="D49" s="21">
        <f>19*3*10*3</f>
        <v>1710</v>
      </c>
      <c r="E49" s="13"/>
      <c r="F49" s="21"/>
      <c r="G49" s="47"/>
      <c r="M49" s="40">
        <f>+D49</f>
        <v>1710</v>
      </c>
      <c r="N49" s="52"/>
    </row>
    <row r="50" spans="2:14" x14ac:dyDescent="0.25">
      <c r="B50" s="22"/>
      <c r="C50" t="s">
        <v>129</v>
      </c>
      <c r="D50" s="21">
        <f>48*15</f>
        <v>720</v>
      </c>
      <c r="E50" s="13"/>
      <c r="F50" s="21"/>
      <c r="G50" s="47"/>
      <c r="L50" s="40">
        <f>+D50</f>
        <v>720</v>
      </c>
      <c r="N50" s="52"/>
    </row>
    <row r="51" spans="2:14" x14ac:dyDescent="0.25">
      <c r="B51" s="22"/>
      <c r="C51" t="s">
        <v>134</v>
      </c>
      <c r="D51" s="21">
        <f>36*15</f>
        <v>540</v>
      </c>
      <c r="E51" s="13"/>
      <c r="F51" s="21"/>
      <c r="G51" s="47"/>
      <c r="K51" s="40">
        <f>+D51</f>
        <v>540</v>
      </c>
      <c r="N51" s="52"/>
    </row>
    <row r="52" spans="2:14" x14ac:dyDescent="0.25">
      <c r="B52" s="22" t="s">
        <v>41</v>
      </c>
      <c r="E52" s="37">
        <f>D53+D54+D55</f>
        <v>5583</v>
      </c>
      <c r="F52" s="21"/>
      <c r="G52" s="47"/>
      <c r="J52" t="s">
        <v>8</v>
      </c>
      <c r="N52" s="52"/>
    </row>
    <row r="53" spans="2:14" x14ac:dyDescent="0.25">
      <c r="B53" s="22"/>
      <c r="C53" t="s">
        <v>128</v>
      </c>
      <c r="D53" s="21">
        <f>32*4*36</f>
        <v>4608</v>
      </c>
      <c r="E53" s="37"/>
      <c r="F53" s="21"/>
      <c r="G53" s="47"/>
      <c r="M53" s="40">
        <f>+D53</f>
        <v>4608</v>
      </c>
      <c r="N53" s="52"/>
    </row>
    <row r="54" spans="2:14" x14ac:dyDescent="0.25">
      <c r="B54" s="22"/>
      <c r="C54" t="s">
        <v>129</v>
      </c>
      <c r="D54" s="21">
        <f>12*4*12.5</f>
        <v>600</v>
      </c>
      <c r="E54" s="37"/>
      <c r="F54" s="21"/>
      <c r="G54" s="47"/>
      <c r="L54" s="40">
        <f>+D54</f>
        <v>600</v>
      </c>
      <c r="N54" s="52"/>
    </row>
    <row r="55" spans="2:14" x14ac:dyDescent="0.25">
      <c r="B55" s="22"/>
      <c r="C55" t="s">
        <v>134</v>
      </c>
      <c r="D55" s="21">
        <f>10*3*12.5</f>
        <v>375</v>
      </c>
      <c r="E55" s="37"/>
      <c r="F55" s="21"/>
      <c r="G55" s="47"/>
      <c r="K55" s="40">
        <f>+D55</f>
        <v>375</v>
      </c>
      <c r="N55" s="52"/>
    </row>
    <row r="56" spans="2:14" x14ac:dyDescent="0.25">
      <c r="B56" s="22" t="s">
        <v>42</v>
      </c>
      <c r="E56" s="13">
        <f>D57+D58+D59+D60+D61</f>
        <v>7128</v>
      </c>
      <c r="F56" s="21"/>
      <c r="G56" s="47"/>
      <c r="N56" s="52"/>
    </row>
    <row r="57" spans="2:14" x14ac:dyDescent="0.25">
      <c r="B57" s="22"/>
      <c r="C57" t="s">
        <v>128</v>
      </c>
      <c r="D57" s="21">
        <f>32*50</f>
        <v>1600</v>
      </c>
      <c r="E57" s="13"/>
      <c r="F57" s="21"/>
      <c r="G57" s="47"/>
      <c r="M57" s="40">
        <f>+D57</f>
        <v>1600</v>
      </c>
      <c r="N57" s="52"/>
    </row>
    <row r="58" spans="2:14" x14ac:dyDescent="0.25">
      <c r="B58" s="22"/>
      <c r="C58" t="s">
        <v>139</v>
      </c>
      <c r="D58" s="21">
        <f>50*32</f>
        <v>1600</v>
      </c>
      <c r="E58" s="13"/>
      <c r="F58" s="21"/>
      <c r="G58" s="47"/>
      <c r="J58" s="40">
        <f>+D58</f>
        <v>1600</v>
      </c>
      <c r="K58" s="40"/>
      <c r="N58" s="52"/>
    </row>
    <row r="59" spans="2:14" x14ac:dyDescent="0.25">
      <c r="B59" s="22"/>
      <c r="C59" t="s">
        <v>129</v>
      </c>
      <c r="D59" s="21">
        <f>24*50</f>
        <v>1200</v>
      </c>
      <c r="E59" s="13"/>
      <c r="F59" s="21"/>
      <c r="G59" s="47"/>
      <c r="L59" s="40">
        <f>+D59</f>
        <v>1200</v>
      </c>
      <c r="N59" s="52"/>
    </row>
    <row r="60" spans="2:14" x14ac:dyDescent="0.25">
      <c r="B60" s="22"/>
      <c r="C60" t="s">
        <v>130</v>
      </c>
      <c r="D60" s="21">
        <f>10*2*50</f>
        <v>1000</v>
      </c>
      <c r="E60" s="13"/>
      <c r="F60" s="21"/>
      <c r="G60" s="47"/>
      <c r="K60" s="40">
        <f>+D60</f>
        <v>1000</v>
      </c>
      <c r="N60" s="52"/>
    </row>
    <row r="61" spans="2:14" x14ac:dyDescent="0.25">
      <c r="B61" s="22"/>
      <c r="C61" t="s">
        <v>271</v>
      </c>
      <c r="D61" s="21">
        <f>+E14*0.9</f>
        <v>1728</v>
      </c>
      <c r="E61" s="13"/>
      <c r="F61" s="21"/>
      <c r="G61" s="47"/>
      <c r="J61" s="40">
        <f>+D61</f>
        <v>1728</v>
      </c>
      <c r="K61" s="40"/>
      <c r="N61" s="52"/>
    </row>
    <row r="62" spans="2:14" x14ac:dyDescent="0.25">
      <c r="B62" s="22" t="s">
        <v>207</v>
      </c>
      <c r="D62" s="21"/>
      <c r="E62" s="13">
        <f>SUM(E48:E56)</f>
        <v>15681</v>
      </c>
      <c r="F62" s="21"/>
      <c r="G62" s="47"/>
      <c r="H62" s="40"/>
      <c r="J62" s="40">
        <f>+J58+J61</f>
        <v>3328</v>
      </c>
      <c r="K62" s="40">
        <f>SUM(K51:K60)</f>
        <v>1915</v>
      </c>
      <c r="L62" s="40">
        <f>+L59+L54+L50</f>
        <v>2520</v>
      </c>
      <c r="M62" s="40">
        <f>+M57+M53+M49</f>
        <v>7918</v>
      </c>
      <c r="N62" s="54">
        <f>+J62+L62+M62+H62+K62</f>
        <v>15681</v>
      </c>
    </row>
    <row r="63" spans="2:14" x14ac:dyDescent="0.25">
      <c r="B63" s="22"/>
      <c r="D63" s="21"/>
      <c r="E63" s="13"/>
      <c r="F63" s="21"/>
      <c r="G63" s="47"/>
      <c r="J63" s="40"/>
      <c r="K63" s="40"/>
      <c r="L63" s="40"/>
      <c r="M63" s="40"/>
      <c r="N63" s="52"/>
    </row>
    <row r="64" spans="2:14" x14ac:dyDescent="0.25">
      <c r="B64" s="22" t="s">
        <v>138</v>
      </c>
      <c r="E64" s="37">
        <v>0</v>
      </c>
      <c r="F64" s="21"/>
      <c r="G64" s="47"/>
      <c r="N64" s="52"/>
    </row>
    <row r="65" spans="1:14" x14ac:dyDescent="0.25">
      <c r="B65" s="22" t="s">
        <v>43</v>
      </c>
      <c r="E65" s="13">
        <v>1500</v>
      </c>
      <c r="F65" s="21"/>
      <c r="G65" s="47"/>
      <c r="N65" s="52"/>
    </row>
    <row r="66" spans="1:14" x14ac:dyDescent="0.25">
      <c r="B66" s="22" t="s">
        <v>46</v>
      </c>
      <c r="E66" s="13">
        <v>500</v>
      </c>
      <c r="F66" s="21"/>
      <c r="G66" s="47"/>
      <c r="N66" s="52"/>
    </row>
    <row r="67" spans="1:14" x14ac:dyDescent="0.25">
      <c r="B67" s="22" t="s">
        <v>208</v>
      </c>
      <c r="E67" s="13">
        <f>+E66+E65+E64</f>
        <v>2000</v>
      </c>
      <c r="F67" s="21"/>
      <c r="G67" s="47"/>
      <c r="J67" s="13">
        <f>0.25*E67</f>
        <v>500</v>
      </c>
      <c r="K67" s="13"/>
      <c r="L67" s="13">
        <f>0.25*E67</f>
        <v>500</v>
      </c>
      <c r="M67" s="13">
        <f>0.5*E67</f>
        <v>1000</v>
      </c>
      <c r="N67" s="54">
        <f>+J67+L67+M67</f>
        <v>2000</v>
      </c>
    </row>
    <row r="68" spans="1:14" x14ac:dyDescent="0.25">
      <c r="B68" s="22"/>
      <c r="E68" s="13"/>
      <c r="F68" s="21"/>
      <c r="G68" s="47"/>
      <c r="N68" s="52"/>
    </row>
    <row r="69" spans="1:14" x14ac:dyDescent="0.25">
      <c r="B69" s="22"/>
      <c r="C69" s="19" t="s">
        <v>148</v>
      </c>
      <c r="E69" s="20">
        <f>SUM(E48:E66)-E62</f>
        <v>17681</v>
      </c>
      <c r="F69" s="21"/>
      <c r="G69" s="47">
        <f>+G46</f>
        <v>9750</v>
      </c>
      <c r="H69" s="70">
        <f>+H46+H62</f>
        <v>11000</v>
      </c>
      <c r="I69" s="47">
        <f>+I46</f>
        <v>6000</v>
      </c>
      <c r="J69" s="40">
        <f>+J67+J62</f>
        <v>3828</v>
      </c>
      <c r="K69" s="40">
        <f>+K62</f>
        <v>1915</v>
      </c>
      <c r="L69" s="40">
        <f>+L67+L62</f>
        <v>3020</v>
      </c>
      <c r="M69" s="40">
        <f>+M67+M62</f>
        <v>8918</v>
      </c>
      <c r="N69" s="54" t="s">
        <v>8</v>
      </c>
    </row>
    <row r="70" spans="1:14" x14ac:dyDescent="0.25">
      <c r="B70" s="22"/>
      <c r="C70" t="s">
        <v>150</v>
      </c>
      <c r="D70" s="13">
        <f>E48+E52+D57+D59+D60+E65+(E64*0.67)+(E66*0.67)</f>
        <v>14188</v>
      </c>
      <c r="E70" s="13"/>
      <c r="F70" s="21"/>
      <c r="G70" s="47"/>
      <c r="N70" s="52"/>
    </row>
    <row r="71" spans="1:14" x14ac:dyDescent="0.25">
      <c r="B71" s="22"/>
      <c r="C71" t="s">
        <v>151</v>
      </c>
      <c r="D71" s="13">
        <f>D58+(E64*0.33)+(E66*0.33)</f>
        <v>1765</v>
      </c>
      <c r="E71" s="13"/>
      <c r="F71" s="21"/>
      <c r="G71" s="47"/>
      <c r="N71" s="54">
        <f>+(N46+N62+N67)</f>
        <v>44431</v>
      </c>
    </row>
    <row r="72" spans="1:14" x14ac:dyDescent="0.25">
      <c r="B72" s="23" t="s">
        <v>50</v>
      </c>
      <c r="E72" s="20" t="s">
        <v>8</v>
      </c>
      <c r="F72" s="24">
        <f>E69+E44</f>
        <v>44431</v>
      </c>
      <c r="G72" s="47" t="s">
        <v>8</v>
      </c>
      <c r="H72" s="79" t="s">
        <v>8</v>
      </c>
      <c r="I72" s="79" t="s">
        <v>8</v>
      </c>
      <c r="N72" s="52"/>
    </row>
    <row r="73" spans="1:14" x14ac:dyDescent="0.25">
      <c r="B73" s="23"/>
      <c r="E73" s="20"/>
      <c r="F73" s="21"/>
      <c r="G73" s="47"/>
      <c r="N73" s="52"/>
    </row>
    <row r="74" spans="1:14" x14ac:dyDescent="0.25">
      <c r="B74" s="23" t="s">
        <v>52</v>
      </c>
      <c r="E74" s="13"/>
      <c r="F74" s="24">
        <f>F32-F72</f>
        <v>7619</v>
      </c>
      <c r="G74" s="50">
        <f t="shared" ref="G74:M74" si="1">+G32-G69</f>
        <v>-475</v>
      </c>
      <c r="H74" s="78">
        <f t="shared" si="1"/>
        <v>1855</v>
      </c>
      <c r="I74" s="78">
        <f t="shared" si="1"/>
        <v>650</v>
      </c>
      <c r="J74" s="78">
        <f t="shared" si="1"/>
        <v>3692</v>
      </c>
      <c r="K74" s="78">
        <f t="shared" si="1"/>
        <v>1685</v>
      </c>
      <c r="L74" s="78">
        <f t="shared" si="1"/>
        <v>180</v>
      </c>
      <c r="M74" s="78">
        <f t="shared" si="1"/>
        <v>32</v>
      </c>
      <c r="N74" s="53">
        <f>+G74+H74+I74+J74+L74+M74+K74</f>
        <v>7619</v>
      </c>
    </row>
    <row r="75" spans="1:14" x14ac:dyDescent="0.25">
      <c r="B75" s="23"/>
      <c r="C75" t="s">
        <v>210</v>
      </c>
      <c r="D75" s="21">
        <v>0</v>
      </c>
      <c r="E75" s="13"/>
      <c r="F75" s="58">
        <f>+D75</f>
        <v>0</v>
      </c>
      <c r="G75" s="55"/>
      <c r="H75" s="13">
        <f>+D75</f>
        <v>0</v>
      </c>
      <c r="I75" s="13"/>
      <c r="J75" s="40"/>
      <c r="K75" s="40"/>
      <c r="L75" s="40"/>
      <c r="M75" s="40"/>
      <c r="N75" s="53">
        <f>+N74+D75</f>
        <v>7619</v>
      </c>
    </row>
    <row r="76" spans="1:14" x14ac:dyDescent="0.25">
      <c r="B76" s="23"/>
      <c r="D76" s="21"/>
      <c r="E76" s="13"/>
      <c r="F76" s="58"/>
      <c r="G76" s="55"/>
      <c r="H76" s="13"/>
      <c r="I76" s="13"/>
      <c r="J76" s="40"/>
      <c r="K76" s="40"/>
      <c r="L76" s="40"/>
      <c r="M76" s="40"/>
      <c r="N76" s="53"/>
    </row>
    <row r="77" spans="1:14" x14ac:dyDescent="0.25">
      <c r="A77" s="23"/>
      <c r="B77" s="23" t="s">
        <v>211</v>
      </c>
      <c r="D77" s="21">
        <v>8000</v>
      </c>
      <c r="E77" s="13"/>
      <c r="F77" s="58">
        <f>-D77</f>
        <v>-8000</v>
      </c>
      <c r="G77" s="55"/>
      <c r="H77" s="63">
        <f>-0.75*D77</f>
        <v>-6000</v>
      </c>
      <c r="I77" s="63" t="s">
        <v>8</v>
      </c>
      <c r="J77" s="40">
        <f>-0.15*D77</f>
        <v>-1200</v>
      </c>
      <c r="K77" s="40"/>
      <c r="M77" s="40">
        <f>-0.1*D77</f>
        <v>-800</v>
      </c>
      <c r="N77" s="64">
        <f>-D77</f>
        <v>-8000</v>
      </c>
    </row>
    <row r="78" spans="1:14" x14ac:dyDescent="0.25">
      <c r="A78" s="23"/>
      <c r="B78" s="23"/>
      <c r="D78" s="21"/>
      <c r="E78" s="13"/>
      <c r="F78" s="58"/>
      <c r="G78" s="55"/>
      <c r="H78" s="13"/>
      <c r="I78" s="13"/>
      <c r="J78" s="40"/>
      <c r="K78" s="40"/>
      <c r="L78" s="40"/>
      <c r="M78" s="40"/>
      <c r="N78" s="53"/>
    </row>
    <row r="79" spans="1:14" x14ac:dyDescent="0.25">
      <c r="A79" s="23"/>
      <c r="B79" s="23" t="s">
        <v>274</v>
      </c>
      <c r="D79" s="21"/>
      <c r="E79" s="13"/>
      <c r="F79" s="58">
        <f>+F74++F75+F77</f>
        <v>-381</v>
      </c>
      <c r="G79" s="20">
        <f>+G74+G75-G77</f>
        <v>-475</v>
      </c>
      <c r="H79" s="20">
        <f>+H74+H75+H77</f>
        <v>-4145</v>
      </c>
      <c r="I79" s="20">
        <f>+I74</f>
        <v>650</v>
      </c>
      <c r="J79" s="20">
        <f>+J74+J75+J77</f>
        <v>2492</v>
      </c>
      <c r="K79" s="20">
        <f>+K74+K75+K77</f>
        <v>1685</v>
      </c>
      <c r="L79" s="20">
        <f>+L74+L75+L77</f>
        <v>180</v>
      </c>
      <c r="M79" s="20">
        <f>+M74+M75+M77</f>
        <v>-768</v>
      </c>
      <c r="N79" s="53">
        <f>+N75+N77</f>
        <v>-381</v>
      </c>
    </row>
    <row r="80" spans="1:14" x14ac:dyDescent="0.25">
      <c r="E80" s="13"/>
      <c r="F80" s="59"/>
    </row>
    <row r="81" spans="1:8" x14ac:dyDescent="0.25">
      <c r="B81" t="s">
        <v>24</v>
      </c>
      <c r="E81" s="13">
        <v>0</v>
      </c>
      <c r="F81" s="59"/>
    </row>
    <row r="82" spans="1:8" x14ac:dyDescent="0.25">
      <c r="B82" t="s">
        <v>268</v>
      </c>
      <c r="E82" s="13">
        <v>5000</v>
      </c>
      <c r="F82" s="59"/>
    </row>
    <row r="83" spans="1:8" x14ac:dyDescent="0.25">
      <c r="B83" s="19" t="s">
        <v>51</v>
      </c>
      <c r="E83" s="20">
        <f>SUM(E81:E82)</f>
        <v>5000</v>
      </c>
      <c r="F83" s="59"/>
    </row>
    <row r="84" spans="1:8" x14ac:dyDescent="0.25">
      <c r="E84" s="13"/>
      <c r="F84" s="59"/>
    </row>
    <row r="85" spans="1:8" x14ac:dyDescent="0.25">
      <c r="A85" s="19"/>
      <c r="B85" s="19" t="s">
        <v>256</v>
      </c>
      <c r="E85" s="13"/>
      <c r="F85" s="58">
        <f>48700+F74-E83</f>
        <v>51319</v>
      </c>
    </row>
    <row r="86" spans="1:8" x14ac:dyDescent="0.25">
      <c r="E86" s="13"/>
      <c r="F86" s="21"/>
    </row>
    <row r="87" spans="1:8" x14ac:dyDescent="0.25">
      <c r="A87" s="43"/>
      <c r="B87" s="23" t="s">
        <v>187</v>
      </c>
      <c r="C87" s="22" t="s">
        <v>188</v>
      </c>
      <c r="D87" s="22" t="s">
        <v>189</v>
      </c>
      <c r="E87" s="13"/>
      <c r="F87" s="21"/>
    </row>
    <row r="88" spans="1:8" x14ac:dyDescent="0.25">
      <c r="A88" s="30" t="s">
        <v>251</v>
      </c>
      <c r="B88" s="30">
        <v>4000</v>
      </c>
      <c r="C88" s="30">
        <v>5500</v>
      </c>
      <c r="D88" s="30">
        <v>5500</v>
      </c>
      <c r="E88" s="37">
        <f>+SUM(B88:D88)</f>
        <v>15000</v>
      </c>
      <c r="F88" s="41"/>
      <c r="G88" s="30" t="s">
        <v>8</v>
      </c>
      <c r="H88">
        <f>D88/17</f>
        <v>323.52941176470586</v>
      </c>
    </row>
    <row r="89" spans="1:8" x14ac:dyDescent="0.25">
      <c r="A89" t="s">
        <v>255</v>
      </c>
      <c r="C89">
        <v>3000</v>
      </c>
      <c r="D89" t="s">
        <v>8</v>
      </c>
      <c r="E89" s="13">
        <f t="shared" ref="E89:E96" si="2">SUM(B89:D89)</f>
        <v>3000</v>
      </c>
      <c r="F89" s="21"/>
    </row>
    <row r="90" spans="1:8" x14ac:dyDescent="0.25">
      <c r="A90" t="s">
        <v>252</v>
      </c>
      <c r="B90">
        <v>1000</v>
      </c>
      <c r="C90">
        <v>2000</v>
      </c>
      <c r="D90" t="s">
        <v>8</v>
      </c>
      <c r="E90" s="13">
        <v>3000</v>
      </c>
      <c r="F90" s="21"/>
    </row>
    <row r="91" spans="1:8" x14ac:dyDescent="0.25">
      <c r="A91" t="s">
        <v>190</v>
      </c>
      <c r="B91">
        <v>1300</v>
      </c>
      <c r="E91" s="13">
        <f t="shared" si="2"/>
        <v>1300</v>
      </c>
      <c r="F91" s="21"/>
    </row>
    <row r="92" spans="1:8" x14ac:dyDescent="0.25">
      <c r="A92" t="s">
        <v>253</v>
      </c>
      <c r="B92">
        <v>500</v>
      </c>
      <c r="E92" s="13">
        <f t="shared" si="2"/>
        <v>500</v>
      </c>
      <c r="F92" s="21"/>
    </row>
    <row r="93" spans="1:8" x14ac:dyDescent="0.25">
      <c r="A93" t="s">
        <v>192</v>
      </c>
      <c r="B93">
        <v>1000</v>
      </c>
      <c r="E93" s="13">
        <f t="shared" si="2"/>
        <v>1000</v>
      </c>
      <c r="F93" s="21"/>
    </row>
    <row r="94" spans="1:8" x14ac:dyDescent="0.25">
      <c r="A94" t="s">
        <v>254</v>
      </c>
      <c r="B94">
        <v>350</v>
      </c>
      <c r="E94" s="13">
        <f t="shared" si="2"/>
        <v>350</v>
      </c>
      <c r="F94" s="21"/>
    </row>
    <row r="95" spans="1:8" x14ac:dyDescent="0.25">
      <c r="A95" t="s">
        <v>194</v>
      </c>
      <c r="B95">
        <v>600</v>
      </c>
      <c r="E95" s="13">
        <f t="shared" si="2"/>
        <v>600</v>
      </c>
      <c r="F95" s="21"/>
    </row>
    <row r="96" spans="1:8" x14ac:dyDescent="0.25">
      <c r="A96" t="s">
        <v>258</v>
      </c>
      <c r="B96">
        <v>1000</v>
      </c>
      <c r="C96">
        <v>500</v>
      </c>
      <c r="D96">
        <v>500</v>
      </c>
      <c r="E96" s="13">
        <f t="shared" si="2"/>
        <v>2000</v>
      </c>
      <c r="F96" s="21"/>
    </row>
    <row r="97" spans="1:14" x14ac:dyDescent="0.25">
      <c r="A97" s="22"/>
      <c r="B97">
        <f>+SUM(B88:B96)</f>
        <v>9750</v>
      </c>
      <c r="C97">
        <f>+SUM(C88:C96)</f>
        <v>11000</v>
      </c>
      <c r="D97">
        <f>+SUM(D88:D96)</f>
        <v>6000</v>
      </c>
      <c r="E97" s="13">
        <f>SUM(E88:E96)</f>
        <v>26750</v>
      </c>
      <c r="F97" s="21"/>
    </row>
    <row r="98" spans="1:14" x14ac:dyDescent="0.25">
      <c r="A98" s="22"/>
      <c r="E98" s="13"/>
      <c r="F98" s="21"/>
    </row>
    <row r="99" spans="1:14" x14ac:dyDescent="0.25">
      <c r="A99" t="s">
        <v>275</v>
      </c>
      <c r="B99" s="44">
        <f>B97/(D4+D7+D8+D24)</f>
        <v>126.62337662337663</v>
      </c>
      <c r="E99" s="13"/>
      <c r="F99" s="21"/>
    </row>
    <row r="100" spans="1:14" x14ac:dyDescent="0.25">
      <c r="A100" t="s">
        <v>276</v>
      </c>
      <c r="B100" s="44">
        <f>B97/(D4+D7+D8+D12+D24)</f>
        <v>109.55056179775281</v>
      </c>
      <c r="E100" s="13"/>
      <c r="F100" s="21"/>
    </row>
    <row r="101" spans="1:14" x14ac:dyDescent="0.25">
      <c r="E101" s="13"/>
      <c r="F101" s="21"/>
    </row>
    <row r="102" spans="1:14" ht="17.25" x14ac:dyDescent="0.4">
      <c r="E102" s="13"/>
      <c r="F102" s="82" t="s">
        <v>240</v>
      </c>
      <c r="G102" s="81" t="s">
        <v>199</v>
      </c>
      <c r="H102" s="45" t="s">
        <v>200</v>
      </c>
      <c r="I102" s="45" t="s">
        <v>201</v>
      </c>
      <c r="J102" s="45" t="s">
        <v>139</v>
      </c>
      <c r="K102" s="45" t="s">
        <v>134</v>
      </c>
      <c r="L102" s="45" t="s">
        <v>202</v>
      </c>
      <c r="M102" s="45" t="s">
        <v>203</v>
      </c>
      <c r="N102" s="45" t="s">
        <v>213</v>
      </c>
    </row>
    <row r="103" spans="1:14" ht="17.25" x14ac:dyDescent="0.4">
      <c r="E103" s="13"/>
      <c r="F103" s="82"/>
      <c r="G103" s="81"/>
      <c r="H103" s="45"/>
      <c r="I103" s="45"/>
      <c r="J103" s="45"/>
      <c r="K103" s="45"/>
      <c r="L103" s="45"/>
      <c r="M103" s="45"/>
      <c r="N103" s="45"/>
    </row>
    <row r="104" spans="1:14" x14ac:dyDescent="0.25">
      <c r="E104" s="13"/>
      <c r="F104" s="21" t="s">
        <v>239</v>
      </c>
      <c r="G104" s="80">
        <f t="shared" ref="G104:N104" si="3">+G32</f>
        <v>9275</v>
      </c>
      <c r="H104" s="80">
        <f t="shared" si="3"/>
        <v>12855</v>
      </c>
      <c r="I104" s="80">
        <f t="shared" si="3"/>
        <v>6650</v>
      </c>
      <c r="J104" s="80">
        <f t="shared" si="3"/>
        <v>7520</v>
      </c>
      <c r="K104" s="80">
        <f t="shared" si="3"/>
        <v>3600</v>
      </c>
      <c r="L104" s="80">
        <f t="shared" si="3"/>
        <v>3200</v>
      </c>
      <c r="M104" s="80">
        <f t="shared" si="3"/>
        <v>8950</v>
      </c>
      <c r="N104" s="80">
        <f t="shared" si="3"/>
        <v>52050</v>
      </c>
    </row>
    <row r="105" spans="1:14" x14ac:dyDescent="0.25">
      <c r="E105" s="13"/>
      <c r="F105" s="21" t="s">
        <v>241</v>
      </c>
      <c r="G105" s="80">
        <f t="shared" ref="G105:M105" si="4">+G69</f>
        <v>9750</v>
      </c>
      <c r="H105" s="80">
        <f t="shared" si="4"/>
        <v>11000</v>
      </c>
      <c r="I105" s="80">
        <f t="shared" si="4"/>
        <v>6000</v>
      </c>
      <c r="J105" s="80">
        <f t="shared" si="4"/>
        <v>3828</v>
      </c>
      <c r="K105" s="80">
        <f t="shared" si="4"/>
        <v>1915</v>
      </c>
      <c r="L105" s="80">
        <f t="shared" si="4"/>
        <v>3020</v>
      </c>
      <c r="M105" s="80">
        <f t="shared" si="4"/>
        <v>8918</v>
      </c>
      <c r="N105" s="80">
        <f>+N71</f>
        <v>44431</v>
      </c>
    </row>
    <row r="106" spans="1:14" x14ac:dyDescent="0.25">
      <c r="E106" s="13"/>
      <c r="F106" s="21"/>
      <c r="G106" s="80"/>
      <c r="H106" s="80"/>
      <c r="I106" s="80"/>
      <c r="J106" s="80"/>
      <c r="K106" s="80"/>
      <c r="L106" s="80"/>
      <c r="M106" s="80"/>
      <c r="N106" s="80"/>
    </row>
    <row r="107" spans="1:14" x14ac:dyDescent="0.25">
      <c r="E107" s="13"/>
      <c r="F107" s="21" t="s">
        <v>242</v>
      </c>
      <c r="G107" s="80">
        <f t="shared" ref="G107:N107" si="5">+G104-G105</f>
        <v>-475</v>
      </c>
      <c r="H107" s="80">
        <f t="shared" si="5"/>
        <v>1855</v>
      </c>
      <c r="I107" s="80">
        <f t="shared" si="5"/>
        <v>650</v>
      </c>
      <c r="J107" s="80">
        <f t="shared" si="5"/>
        <v>3692</v>
      </c>
      <c r="K107" s="80">
        <f t="shared" si="5"/>
        <v>1685</v>
      </c>
      <c r="L107" s="80">
        <f t="shared" si="5"/>
        <v>180</v>
      </c>
      <c r="M107" s="80">
        <f t="shared" si="5"/>
        <v>32</v>
      </c>
      <c r="N107" s="80">
        <f t="shared" si="5"/>
        <v>7619</v>
      </c>
    </row>
    <row r="108" spans="1:14" x14ac:dyDescent="0.25">
      <c r="E108" s="13"/>
      <c r="F108" s="21"/>
      <c r="G108" s="80"/>
      <c r="H108" s="80"/>
      <c r="I108" s="80"/>
      <c r="J108" s="80"/>
      <c r="K108" s="80"/>
      <c r="L108" s="80"/>
      <c r="M108" s="80"/>
      <c r="N108" s="80"/>
    </row>
    <row r="109" spans="1:14" x14ac:dyDescent="0.25">
      <c r="E109" s="13"/>
      <c r="F109" s="21" t="s">
        <v>278</v>
      </c>
      <c r="G109" s="80"/>
      <c r="H109" s="80">
        <f>+H77</f>
        <v>-6000</v>
      </c>
      <c r="I109" s="80"/>
      <c r="J109" s="80">
        <f>+J77</f>
        <v>-1200</v>
      </c>
      <c r="K109" s="80"/>
      <c r="L109" s="80"/>
      <c r="M109" s="80">
        <f>+M77</f>
        <v>-800</v>
      </c>
      <c r="N109" s="80">
        <f>+H109+J109+M109</f>
        <v>-8000</v>
      </c>
    </row>
    <row r="110" spans="1:14" x14ac:dyDescent="0.25">
      <c r="E110" s="13"/>
      <c r="F110" s="21"/>
      <c r="G110" s="80"/>
      <c r="H110" s="80"/>
      <c r="I110" s="80"/>
      <c r="J110" s="80"/>
      <c r="K110" s="80"/>
      <c r="L110" s="80"/>
      <c r="M110" s="80"/>
      <c r="N110" s="80"/>
    </row>
    <row r="111" spans="1:14" x14ac:dyDescent="0.25">
      <c r="E111" s="13"/>
      <c r="F111" s="21" t="s">
        <v>244</v>
      </c>
      <c r="G111" s="80">
        <f>+G107</f>
        <v>-475</v>
      </c>
      <c r="H111" s="80">
        <f>+H107+H109</f>
        <v>-4145</v>
      </c>
      <c r="I111" s="80">
        <f>+I107+I109</f>
        <v>650</v>
      </c>
      <c r="J111" s="80">
        <f>+J107+J109</f>
        <v>2492</v>
      </c>
      <c r="K111" s="80">
        <f>+K107+K109</f>
        <v>1685</v>
      </c>
      <c r="L111" s="80">
        <f>+L107+M109</f>
        <v>-620</v>
      </c>
      <c r="M111" s="80">
        <f>+M107+M109</f>
        <v>-768</v>
      </c>
      <c r="N111" s="80">
        <f>+N107+N109</f>
        <v>-381</v>
      </c>
    </row>
    <row r="112" spans="1:14" x14ac:dyDescent="0.25">
      <c r="E112" s="13"/>
      <c r="F112" s="21" t="s">
        <v>245</v>
      </c>
      <c r="H112" s="68">
        <f>+D75</f>
        <v>0</v>
      </c>
      <c r="N112" s="68">
        <f>+H112</f>
        <v>0</v>
      </c>
    </row>
    <row r="113" spans="5:14" x14ac:dyDescent="0.25">
      <c r="E113" s="13"/>
      <c r="F113" s="21"/>
    </row>
    <row r="114" spans="5:14" x14ac:dyDescent="0.25">
      <c r="E114" s="13"/>
      <c r="F114" s="21" t="s">
        <v>246</v>
      </c>
      <c r="G114" s="40">
        <f>+G107</f>
        <v>-475</v>
      </c>
      <c r="H114" s="69">
        <f>+H111+H112</f>
        <v>-4145</v>
      </c>
      <c r="N114" s="69">
        <f>+N111+N112</f>
        <v>-381</v>
      </c>
    </row>
  </sheetData>
  <phoneticPr fontId="11" type="noConversion"/>
  <pageMargins left="0.75" right="0.75" top="1" bottom="1" header="0.5" footer="0.5"/>
  <headerFooter alignWithMargins="0">
    <oddHeader>&amp;L&amp;D&amp;R2012 Program budget</oddHeader>
    <oddFooter>&amp;LJWB&amp;RDiscussion Draft  Budget</oddFooter>
  </headerFooter>
  <rowBreaks count="2" manualBreakCount="2">
    <brk id="33" max="16383" man="1"/>
    <brk id="85" max="16383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8"/>
  <sheetViews>
    <sheetView topLeftCell="A5" workbookViewId="0">
      <selection activeCell="D25" sqref="D25"/>
    </sheetView>
  </sheetViews>
  <sheetFormatPr defaultColWidth="8.85546875" defaultRowHeight="15" x14ac:dyDescent="0.25"/>
  <cols>
    <col min="3" max="3" width="18.42578125" customWidth="1"/>
    <col min="4" max="4" width="11.7109375" style="21" customWidth="1"/>
    <col min="5" max="5" width="10.140625" style="21" customWidth="1"/>
    <col min="6" max="6" width="12.42578125" customWidth="1"/>
    <col min="8" max="8" width="20.28515625" customWidth="1"/>
  </cols>
  <sheetData>
    <row r="2" spans="2:9" x14ac:dyDescent="0.25">
      <c r="C2" t="s">
        <v>8</v>
      </c>
      <c r="I2" s="47" t="s">
        <v>320</v>
      </c>
    </row>
    <row r="3" spans="2:9" x14ac:dyDescent="0.25">
      <c r="I3" s="47"/>
    </row>
    <row r="4" spans="2:9" x14ac:dyDescent="0.25">
      <c r="D4" s="21" t="s">
        <v>158</v>
      </c>
      <c r="E4" s="21" t="s">
        <v>159</v>
      </c>
      <c r="F4" t="s">
        <v>164</v>
      </c>
      <c r="H4" t="s">
        <v>234</v>
      </c>
      <c r="I4" s="47" t="s">
        <v>334</v>
      </c>
    </row>
    <row r="5" spans="2:9" x14ac:dyDescent="0.25">
      <c r="B5" s="19" t="s">
        <v>157</v>
      </c>
      <c r="C5" s="19"/>
      <c r="D5" s="24">
        <v>3000</v>
      </c>
      <c r="I5" s="47" t="s">
        <v>335</v>
      </c>
    </row>
    <row r="6" spans="2:9" x14ac:dyDescent="0.25">
      <c r="C6" t="s">
        <v>8</v>
      </c>
      <c r="E6" s="38" t="s">
        <v>8</v>
      </c>
      <c r="F6" s="39" t="e">
        <f>D5-E6</f>
        <v>#VALUE!</v>
      </c>
      <c r="I6" s="47" t="s">
        <v>336</v>
      </c>
    </row>
    <row r="7" spans="2:9" x14ac:dyDescent="0.25">
      <c r="C7" t="s">
        <v>8</v>
      </c>
      <c r="E7" s="38" t="s">
        <v>8</v>
      </c>
      <c r="F7" s="39" t="e">
        <f>F6-E7</f>
        <v>#VALUE!</v>
      </c>
      <c r="I7" s="47"/>
    </row>
    <row r="8" spans="2:9" x14ac:dyDescent="0.25">
      <c r="C8" t="s">
        <v>8</v>
      </c>
      <c r="E8" s="38" t="s">
        <v>8</v>
      </c>
      <c r="F8" s="39" t="e">
        <f>F7-E8</f>
        <v>#VALUE!</v>
      </c>
      <c r="H8" t="s">
        <v>8</v>
      </c>
      <c r="I8" s="94" t="s">
        <v>329</v>
      </c>
    </row>
    <row r="9" spans="2:9" x14ac:dyDescent="0.25">
      <c r="I9" s="47" t="s">
        <v>315</v>
      </c>
    </row>
    <row r="10" spans="2:9" x14ac:dyDescent="0.25">
      <c r="B10" s="19" t="s">
        <v>160</v>
      </c>
      <c r="C10" s="19"/>
      <c r="D10" s="24">
        <v>0</v>
      </c>
      <c r="I10" s="47" t="s">
        <v>316</v>
      </c>
    </row>
    <row r="11" spans="2:9" x14ac:dyDescent="0.25">
      <c r="C11" t="s">
        <v>8</v>
      </c>
      <c r="D11" s="21" t="s">
        <v>8</v>
      </c>
      <c r="F11" s="40" t="e">
        <f>D10-D11</f>
        <v>#VALUE!</v>
      </c>
      <c r="I11" s="47" t="s">
        <v>317</v>
      </c>
    </row>
    <row r="12" spans="2:9" x14ac:dyDescent="0.25">
      <c r="C12" t="s">
        <v>8</v>
      </c>
      <c r="D12" s="21">
        <v>0</v>
      </c>
      <c r="E12" s="21" t="s">
        <v>8</v>
      </c>
      <c r="F12" s="40" t="e">
        <f>F11-E12</f>
        <v>#VALUE!</v>
      </c>
      <c r="H12" t="s">
        <v>8</v>
      </c>
      <c r="I12" s="47" t="s">
        <v>318</v>
      </c>
    </row>
    <row r="13" spans="2:9" x14ac:dyDescent="0.25">
      <c r="I13" s="47" t="s">
        <v>321</v>
      </c>
    </row>
    <row r="14" spans="2:9" x14ac:dyDescent="0.25">
      <c r="B14" s="19" t="s">
        <v>161</v>
      </c>
      <c r="C14" s="19"/>
      <c r="D14" s="24">
        <f>SUM(D15:D18)</f>
        <v>34000</v>
      </c>
      <c r="I14" s="47" t="s">
        <v>319</v>
      </c>
    </row>
    <row r="15" spans="2:9" x14ac:dyDescent="0.25">
      <c r="C15" t="s">
        <v>308</v>
      </c>
      <c r="D15" s="21">
        <v>20000</v>
      </c>
      <c r="I15" s="47" t="s">
        <v>314</v>
      </c>
    </row>
    <row r="16" spans="2:9" x14ac:dyDescent="0.25">
      <c r="C16" t="s">
        <v>309</v>
      </c>
      <c r="D16" s="21">
        <v>4500</v>
      </c>
      <c r="I16" s="47" t="s">
        <v>8</v>
      </c>
    </row>
    <row r="17" spans="2:9" x14ac:dyDescent="0.25">
      <c r="C17" t="s">
        <v>310</v>
      </c>
      <c r="D17" s="92">
        <v>4500</v>
      </c>
      <c r="I17" s="94" t="s">
        <v>330</v>
      </c>
    </row>
    <row r="18" spans="2:9" x14ac:dyDescent="0.25">
      <c r="C18" t="s">
        <v>311</v>
      </c>
      <c r="D18" s="21">
        <v>5000</v>
      </c>
      <c r="I18" s="47" t="s">
        <v>322</v>
      </c>
    </row>
    <row r="19" spans="2:9" x14ac:dyDescent="0.25">
      <c r="B19" s="19" t="s">
        <v>165</v>
      </c>
      <c r="C19" s="19"/>
      <c r="D19" s="24">
        <f>D5+D10+D14</f>
        <v>37000</v>
      </c>
      <c r="I19" s="47" t="s">
        <v>323</v>
      </c>
    </row>
    <row r="20" spans="2:9" x14ac:dyDescent="0.25">
      <c r="I20" s="47" t="s">
        <v>324</v>
      </c>
    </row>
    <row r="21" spans="2:9" x14ac:dyDescent="0.25">
      <c r="B21" t="s">
        <v>162</v>
      </c>
      <c r="I21" s="47" t="s">
        <v>325</v>
      </c>
    </row>
    <row r="22" spans="2:9" x14ac:dyDescent="0.25">
      <c r="C22" t="s">
        <v>331</v>
      </c>
      <c r="D22" s="21">
        <v>-1000</v>
      </c>
      <c r="I22" s="47" t="s">
        <v>325</v>
      </c>
    </row>
    <row r="23" spans="2:9" x14ac:dyDescent="0.25">
      <c r="C23" t="s">
        <v>332</v>
      </c>
      <c r="D23" s="21">
        <v>-1000</v>
      </c>
      <c r="I23" s="47" t="s">
        <v>326</v>
      </c>
    </row>
    <row r="24" spans="2:9" x14ac:dyDescent="0.25">
      <c r="C24" t="s">
        <v>333</v>
      </c>
      <c r="D24" s="21">
        <v>-1500</v>
      </c>
      <c r="I24" s="47" t="s">
        <v>327</v>
      </c>
    </row>
    <row r="25" spans="2:9" x14ac:dyDescent="0.25">
      <c r="C25" t="s">
        <v>312</v>
      </c>
      <c r="D25" s="21">
        <v>-9000</v>
      </c>
      <c r="I25" s="47" t="s">
        <v>328</v>
      </c>
    </row>
    <row r="26" spans="2:9" x14ac:dyDescent="0.25">
      <c r="B26" s="93" t="s">
        <v>163</v>
      </c>
      <c r="C26" s="93"/>
      <c r="D26" s="91">
        <f>D22+D23+D24+D25</f>
        <v>-12500</v>
      </c>
    </row>
    <row r="28" spans="2:9" x14ac:dyDescent="0.25">
      <c r="B28" s="93" t="s">
        <v>313</v>
      </c>
      <c r="C28" s="93"/>
      <c r="D28" s="91">
        <f>D5+D14+D26</f>
        <v>24500</v>
      </c>
    </row>
  </sheetData>
  <phoneticPr fontId="11" type="noConversion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29" sqref="E29"/>
    </sheetView>
  </sheetViews>
  <sheetFormatPr defaultColWidth="11.42578125" defaultRowHeight="15" x14ac:dyDescent="0.25"/>
  <cols>
    <col min="1" max="1" width="40.42578125" customWidth="1"/>
    <col min="2" max="2" width="9.85546875" customWidth="1"/>
    <col min="3" max="3" width="7.7109375" customWidth="1"/>
    <col min="4" max="4" width="39.7109375" customWidth="1"/>
    <col min="7" max="7" width="33.42578125" customWidth="1"/>
    <col min="9" max="9" width="14.42578125" customWidth="1"/>
  </cols>
  <sheetData>
    <row r="1" spans="1:10" x14ac:dyDescent="0.25">
      <c r="A1" s="25" t="s">
        <v>54</v>
      </c>
      <c r="D1" s="25" t="s">
        <v>55</v>
      </c>
      <c r="G1" s="25" t="s">
        <v>56</v>
      </c>
      <c r="H1" s="25" t="s">
        <v>57</v>
      </c>
      <c r="I1" s="25" t="s">
        <v>58</v>
      </c>
      <c r="J1" s="25" t="s">
        <v>48</v>
      </c>
    </row>
    <row r="2" spans="1:10" x14ac:dyDescent="0.25">
      <c r="A2" t="s">
        <v>59</v>
      </c>
      <c r="B2">
        <v>32</v>
      </c>
      <c r="D2" t="s">
        <v>60</v>
      </c>
      <c r="E2" s="26">
        <f>B6*B3</f>
        <v>1600</v>
      </c>
      <c r="G2" s="27" t="s">
        <v>61</v>
      </c>
      <c r="H2" s="26">
        <f>SUM(H3:H8)</f>
        <v>8071.251724137931</v>
      </c>
      <c r="I2" s="26">
        <f>SUM(I3:I8)</f>
        <v>2345.1482758620687</v>
      </c>
      <c r="J2" s="26">
        <f>SUM(J3:J8)</f>
        <v>10416.4</v>
      </c>
    </row>
    <row r="3" spans="1:10" x14ac:dyDescent="0.25">
      <c r="A3" t="s">
        <v>62</v>
      </c>
      <c r="B3" s="26">
        <v>50</v>
      </c>
      <c r="D3" t="s">
        <v>63</v>
      </c>
      <c r="E3" s="26">
        <f>B3*B7</f>
        <v>600</v>
      </c>
      <c r="G3" s="27" t="s">
        <v>64</v>
      </c>
      <c r="H3" s="26">
        <f>E8</f>
        <v>2304</v>
      </c>
      <c r="I3" s="26">
        <f>E4</f>
        <v>960</v>
      </c>
      <c r="J3" s="26">
        <f t="shared" ref="J3:J8" si="0">SUM(H3:I3)</f>
        <v>3264</v>
      </c>
    </row>
    <row r="4" spans="1:10" x14ac:dyDescent="0.25">
      <c r="A4" t="s">
        <v>65</v>
      </c>
      <c r="B4" s="26">
        <v>3500</v>
      </c>
      <c r="D4" t="s">
        <v>66</v>
      </c>
      <c r="E4" s="26">
        <f>B11*B9/B10*B12</f>
        <v>960</v>
      </c>
      <c r="G4" s="27" t="s">
        <v>67</v>
      </c>
      <c r="H4" s="26">
        <f>E2</f>
        <v>1600</v>
      </c>
      <c r="I4" s="26">
        <f>E3</f>
        <v>600</v>
      </c>
      <c r="J4" s="26">
        <f t="shared" si="0"/>
        <v>2200</v>
      </c>
    </row>
    <row r="5" spans="1:10" x14ac:dyDescent="0.25">
      <c r="A5" t="s">
        <v>68</v>
      </c>
      <c r="B5" s="26">
        <v>75</v>
      </c>
      <c r="D5" t="s">
        <v>69</v>
      </c>
      <c r="E5" s="28">
        <f>B9*B11/B10</f>
        <v>48</v>
      </c>
      <c r="G5" s="27" t="s">
        <v>70</v>
      </c>
      <c r="H5" s="26">
        <f>E12</f>
        <v>2896.5517241379312</v>
      </c>
      <c r="I5" s="26">
        <f>E13</f>
        <v>603.44827586206895</v>
      </c>
      <c r="J5" s="26">
        <f t="shared" si="0"/>
        <v>3500</v>
      </c>
    </row>
    <row r="6" spans="1:10" x14ac:dyDescent="0.25">
      <c r="A6" t="s">
        <v>71</v>
      </c>
      <c r="B6">
        <v>32</v>
      </c>
      <c r="D6" t="s">
        <v>72</v>
      </c>
      <c r="E6" s="28">
        <f>B2*B14</f>
        <v>96</v>
      </c>
      <c r="G6" s="27" t="s">
        <v>73</v>
      </c>
      <c r="H6" s="26">
        <f>B5*B8</f>
        <v>900</v>
      </c>
      <c r="I6" s="26">
        <v>0</v>
      </c>
      <c r="J6" s="26">
        <f t="shared" si="0"/>
        <v>900</v>
      </c>
    </row>
    <row r="7" spans="1:10" x14ac:dyDescent="0.25">
      <c r="A7" t="s">
        <v>74</v>
      </c>
      <c r="B7">
        <v>12</v>
      </c>
      <c r="D7" t="s">
        <v>75</v>
      </c>
      <c r="E7" s="28">
        <f>E6*B8/B15</f>
        <v>230.4</v>
      </c>
      <c r="G7" s="27" t="s">
        <v>76</v>
      </c>
      <c r="H7" s="26">
        <f>E37*B8</f>
        <v>125</v>
      </c>
      <c r="I7" s="26">
        <f>E37*B9</f>
        <v>125</v>
      </c>
      <c r="J7" s="26">
        <f t="shared" si="0"/>
        <v>250</v>
      </c>
    </row>
    <row r="8" spans="1:10" x14ac:dyDescent="0.25">
      <c r="A8" t="s">
        <v>77</v>
      </c>
      <c r="B8">
        <v>12</v>
      </c>
      <c r="D8" t="s">
        <v>78</v>
      </c>
      <c r="E8" s="26">
        <f>E7*B13</f>
        <v>2304</v>
      </c>
      <c r="G8" s="27" t="s">
        <v>79</v>
      </c>
      <c r="H8" s="26">
        <f>E20</f>
        <v>245.7</v>
      </c>
      <c r="I8" s="26">
        <f>E21</f>
        <v>56.699999999999996</v>
      </c>
      <c r="J8" s="26">
        <f t="shared" si="0"/>
        <v>302.39999999999998</v>
      </c>
    </row>
    <row r="9" spans="1:10" x14ac:dyDescent="0.25">
      <c r="A9" t="s">
        <v>80</v>
      </c>
      <c r="B9">
        <v>12</v>
      </c>
      <c r="D9" t="s">
        <v>81</v>
      </c>
      <c r="E9" s="28">
        <f>E7+E5</f>
        <v>278.39999999999998</v>
      </c>
    </row>
    <row r="10" spans="1:10" x14ac:dyDescent="0.25">
      <c r="A10" t="s">
        <v>82</v>
      </c>
      <c r="B10">
        <v>6</v>
      </c>
      <c r="D10" t="s">
        <v>83</v>
      </c>
      <c r="E10" s="28">
        <f>E7/E9</f>
        <v>0.82758620689655182</v>
      </c>
    </row>
    <row r="11" spans="1:10" x14ac:dyDescent="0.25">
      <c r="A11" t="s">
        <v>84</v>
      </c>
      <c r="B11">
        <v>24</v>
      </c>
      <c r="D11" t="s">
        <v>85</v>
      </c>
      <c r="E11" s="28">
        <f>E5/E9</f>
        <v>0.17241379310344829</v>
      </c>
    </row>
    <row r="12" spans="1:10" x14ac:dyDescent="0.25">
      <c r="A12" t="s">
        <v>86</v>
      </c>
      <c r="B12" s="26">
        <v>20</v>
      </c>
      <c r="D12" t="s">
        <v>87</v>
      </c>
      <c r="E12" s="26">
        <f>E10*B4</f>
        <v>2896.5517241379312</v>
      </c>
    </row>
    <row r="13" spans="1:10" x14ac:dyDescent="0.25">
      <c r="A13" t="s">
        <v>88</v>
      </c>
      <c r="B13" s="26">
        <v>10</v>
      </c>
      <c r="D13" t="s">
        <v>89</v>
      </c>
      <c r="E13" s="26">
        <f>E11*B4</f>
        <v>603.44827586206895</v>
      </c>
    </row>
    <row r="14" spans="1:10" x14ac:dyDescent="0.25">
      <c r="A14" t="s">
        <v>90</v>
      </c>
      <c r="B14">
        <v>3</v>
      </c>
      <c r="D14" t="s">
        <v>91</v>
      </c>
      <c r="E14" s="26">
        <f>B4/E9</f>
        <v>12.571839080459771</v>
      </c>
    </row>
    <row r="15" spans="1:10" x14ac:dyDescent="0.25">
      <c r="A15" t="s">
        <v>92</v>
      </c>
      <c r="B15">
        <v>5</v>
      </c>
      <c r="D15" t="s">
        <v>93</v>
      </c>
      <c r="E15" s="28">
        <f>B8+B9</f>
        <v>24</v>
      </c>
    </row>
    <row r="16" spans="1:10" x14ac:dyDescent="0.25">
      <c r="A16" t="s">
        <v>94</v>
      </c>
      <c r="B16" s="26">
        <v>0</v>
      </c>
      <c r="D16" t="s">
        <v>95</v>
      </c>
      <c r="E16" s="26">
        <f>B29/E6</f>
        <v>7.0062948994252876</v>
      </c>
    </row>
    <row r="17" spans="1:6" x14ac:dyDescent="0.25">
      <c r="A17" t="s">
        <v>96</v>
      </c>
      <c r="B17" s="26">
        <v>250</v>
      </c>
      <c r="D17" t="s">
        <v>97</v>
      </c>
      <c r="E17" s="26">
        <f>B32/B11</f>
        <v>7.9460009578544053</v>
      </c>
    </row>
    <row r="18" spans="1:6" x14ac:dyDescent="0.25">
      <c r="A18" t="s">
        <v>98</v>
      </c>
      <c r="B18">
        <v>1.5</v>
      </c>
      <c r="D18" t="s">
        <v>99</v>
      </c>
      <c r="E18" s="29">
        <f>B28/B27</f>
        <v>0.42857142857142855</v>
      </c>
    </row>
    <row r="19" spans="1:6" x14ac:dyDescent="0.25">
      <c r="A19" t="s">
        <v>100</v>
      </c>
      <c r="B19" s="26">
        <v>3.15</v>
      </c>
      <c r="D19" t="s">
        <v>101</v>
      </c>
      <c r="E19" s="28">
        <f>(B6+B7)*B18</f>
        <v>66</v>
      </c>
    </row>
    <row r="20" spans="1:6" x14ac:dyDescent="0.25">
      <c r="A20" t="s">
        <v>102</v>
      </c>
      <c r="B20">
        <v>20</v>
      </c>
      <c r="D20" t="s">
        <v>103</v>
      </c>
      <c r="E20" s="26">
        <f>(B6+B20)*B18*B19</f>
        <v>245.7</v>
      </c>
    </row>
    <row r="21" spans="1:6" x14ac:dyDescent="0.25">
      <c r="A21" t="s">
        <v>104</v>
      </c>
      <c r="B21">
        <v>0</v>
      </c>
      <c r="D21" t="s">
        <v>105</v>
      </c>
      <c r="E21" s="26">
        <f>(B7+B21)*B18*B19</f>
        <v>56.699999999999996</v>
      </c>
    </row>
    <row r="24" spans="1:6" x14ac:dyDescent="0.25">
      <c r="D24" s="27"/>
      <c r="E24" s="26"/>
    </row>
    <row r="26" spans="1:6" x14ac:dyDescent="0.25">
      <c r="A26" s="25" t="s">
        <v>106</v>
      </c>
      <c r="D26" s="25" t="s">
        <v>107</v>
      </c>
      <c r="F26" s="25"/>
    </row>
    <row r="27" spans="1:6" x14ac:dyDescent="0.25">
      <c r="A27" t="s">
        <v>108</v>
      </c>
      <c r="B27" s="26">
        <v>350</v>
      </c>
      <c r="D27" t="s">
        <v>109</v>
      </c>
      <c r="E27" s="26">
        <f>E3/B9</f>
        <v>50</v>
      </c>
    </row>
    <row r="28" spans="1:6" x14ac:dyDescent="0.25">
      <c r="A28" t="s">
        <v>110</v>
      </c>
      <c r="B28" s="26">
        <v>150</v>
      </c>
      <c r="D28" t="s">
        <v>111</v>
      </c>
      <c r="E28" s="26">
        <f>E4/B9</f>
        <v>80</v>
      </c>
    </row>
    <row r="29" spans="1:6" x14ac:dyDescent="0.25">
      <c r="A29" t="s">
        <v>112</v>
      </c>
      <c r="B29" s="26">
        <f>SUM(E31:E37)</f>
        <v>672.60431034482758</v>
      </c>
      <c r="D29" t="s">
        <v>113</v>
      </c>
      <c r="E29" s="26">
        <f>E13/B9</f>
        <v>50.287356321839077</v>
      </c>
    </row>
    <row r="30" spans="1:6" x14ac:dyDescent="0.25">
      <c r="A30" t="s">
        <v>114</v>
      </c>
      <c r="B30" s="26">
        <f>B29*E18</f>
        <v>288.25899014778321</v>
      </c>
      <c r="D30" t="s">
        <v>115</v>
      </c>
      <c r="E30" s="26">
        <f>E21/B9</f>
        <v>4.7249999999999996</v>
      </c>
    </row>
    <row r="31" spans="1:6" x14ac:dyDescent="0.25">
      <c r="A31" t="s">
        <v>116</v>
      </c>
      <c r="B31" s="26">
        <f>E35+B32</f>
        <v>265.7040229885057</v>
      </c>
      <c r="D31" t="s">
        <v>117</v>
      </c>
      <c r="E31" s="26">
        <f>E8/B8</f>
        <v>192</v>
      </c>
    </row>
    <row r="32" spans="1:6" x14ac:dyDescent="0.25">
      <c r="A32" t="s">
        <v>118</v>
      </c>
      <c r="B32" s="26">
        <f>SUM(E27:E29)+E36+E37</f>
        <v>190.70402298850573</v>
      </c>
      <c r="D32" t="s">
        <v>119</v>
      </c>
      <c r="E32" s="26">
        <f>E12/B8</f>
        <v>241.37931034482759</v>
      </c>
    </row>
    <row r="33" spans="1:5" x14ac:dyDescent="0.25">
      <c r="A33" t="s">
        <v>120</v>
      </c>
      <c r="B33" s="26">
        <f>B32/3</f>
        <v>63.568007662835242</v>
      </c>
      <c r="D33" t="s">
        <v>121</v>
      </c>
      <c r="E33" s="26">
        <f>E2/B8</f>
        <v>133.33333333333334</v>
      </c>
    </row>
    <row r="34" spans="1:5" x14ac:dyDescent="0.25">
      <c r="A34" t="s">
        <v>122</v>
      </c>
      <c r="B34" s="26">
        <v>50</v>
      </c>
      <c r="D34" t="s">
        <v>123</v>
      </c>
      <c r="E34" s="26">
        <f>E20/B8</f>
        <v>20.474999999999998</v>
      </c>
    </row>
    <row r="35" spans="1:5" x14ac:dyDescent="0.25">
      <c r="A35" t="s">
        <v>124</v>
      </c>
      <c r="B35" s="26">
        <f>B34*E18</f>
        <v>21.428571428571427</v>
      </c>
      <c r="D35" t="s">
        <v>125</v>
      </c>
      <c r="E35" s="26">
        <f>B5</f>
        <v>75</v>
      </c>
    </row>
    <row r="36" spans="1:5" x14ac:dyDescent="0.25">
      <c r="D36" t="s">
        <v>126</v>
      </c>
      <c r="E36" s="26">
        <f>B16/E15</f>
        <v>0</v>
      </c>
    </row>
    <row r="37" spans="1:5" x14ac:dyDescent="0.25">
      <c r="D37" t="s">
        <v>127</v>
      </c>
      <c r="E37" s="26">
        <f>B17/E15</f>
        <v>10.416666666666666</v>
      </c>
    </row>
  </sheetData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topLeftCell="A14" workbookViewId="0">
      <selection activeCell="B16" sqref="B16"/>
    </sheetView>
  </sheetViews>
  <sheetFormatPr defaultColWidth="8.85546875" defaultRowHeight="15" x14ac:dyDescent="0.25"/>
  <sheetData>
    <row r="2" spans="2:10" x14ac:dyDescent="0.25">
      <c r="B2">
        <v>1</v>
      </c>
      <c r="C2" t="s">
        <v>15</v>
      </c>
    </row>
    <row r="3" spans="2:10" ht="15.75" x14ac:dyDescent="0.25">
      <c r="C3" s="3" t="s">
        <v>16</v>
      </c>
    </row>
    <row r="4" spans="2:10" ht="15.75" x14ac:dyDescent="0.25">
      <c r="C4" s="7" t="s">
        <v>8</v>
      </c>
      <c r="D4" s="7" t="s">
        <v>9</v>
      </c>
      <c r="E4" s="7"/>
      <c r="F4" s="7"/>
      <c r="G4" s="14">
        <v>15</v>
      </c>
      <c r="H4" s="7"/>
      <c r="I4" s="7"/>
      <c r="J4" t="s">
        <v>8</v>
      </c>
    </row>
    <row r="5" spans="2:10" ht="15.75" x14ac:dyDescent="0.25">
      <c r="C5" s="7" t="s">
        <v>8</v>
      </c>
      <c r="D5" s="8" t="s">
        <v>10</v>
      </c>
      <c r="E5" s="7"/>
      <c r="F5" s="7"/>
      <c r="G5" s="14">
        <v>35</v>
      </c>
      <c r="H5" s="7"/>
      <c r="I5" s="7"/>
      <c r="J5" t="s">
        <v>8</v>
      </c>
    </row>
    <row r="6" spans="2:10" ht="12.75" customHeight="1" x14ac:dyDescent="0.25">
      <c r="G6" s="15"/>
    </row>
    <row r="7" spans="2:10" ht="15.75" x14ac:dyDescent="0.25">
      <c r="C7" s="3" t="s">
        <v>17</v>
      </c>
      <c r="G7" s="15"/>
    </row>
    <row r="8" spans="2:10" x14ac:dyDescent="0.25">
      <c r="C8" s="10" t="s">
        <v>7</v>
      </c>
      <c r="G8" s="15"/>
    </row>
    <row r="9" spans="2:10" ht="30.75" customHeight="1" x14ac:dyDescent="0.25">
      <c r="C9" s="121" t="s">
        <v>11</v>
      </c>
      <c r="D9" s="121"/>
      <c r="E9" s="121"/>
      <c r="F9" s="12"/>
      <c r="G9" s="16">
        <v>252</v>
      </c>
      <c r="H9" s="9"/>
      <c r="I9" t="s">
        <v>8</v>
      </c>
    </row>
    <row r="10" spans="2:10" x14ac:dyDescent="0.25">
      <c r="G10" s="15"/>
    </row>
    <row r="11" spans="2:10" x14ac:dyDescent="0.25">
      <c r="C11" t="s">
        <v>12</v>
      </c>
      <c r="G11" s="15">
        <v>91</v>
      </c>
    </row>
    <row r="12" spans="2:10" x14ac:dyDescent="0.25">
      <c r="C12" t="s">
        <v>13</v>
      </c>
      <c r="G12" s="15"/>
    </row>
    <row r="13" spans="2:10" x14ac:dyDescent="0.25">
      <c r="C13" t="s">
        <v>14</v>
      </c>
      <c r="G13" s="15">
        <v>40</v>
      </c>
    </row>
    <row r="14" spans="2:10" ht="15.75" x14ac:dyDescent="0.25">
      <c r="C14" s="4" t="s">
        <v>8</v>
      </c>
      <c r="D14" t="s">
        <v>8</v>
      </c>
      <c r="E14" t="s">
        <v>8</v>
      </c>
      <c r="G14" s="15" t="s">
        <v>8</v>
      </c>
    </row>
    <row r="16" spans="2:10" x14ac:dyDescent="0.25">
      <c r="C16" s="17"/>
      <c r="D16" s="11"/>
      <c r="E16" s="11"/>
      <c r="F16" s="11"/>
      <c r="G16" s="11"/>
    </row>
    <row r="17" spans="3:9" ht="28.5" customHeight="1" x14ac:dyDescent="0.25">
      <c r="C17" s="120"/>
      <c r="D17" s="120"/>
      <c r="E17" s="120"/>
      <c r="F17" s="11"/>
      <c r="G17" s="11"/>
    </row>
    <row r="18" spans="3:9" ht="51" customHeight="1" x14ac:dyDescent="0.25">
      <c r="C18" s="120"/>
      <c r="D18" s="120"/>
      <c r="E18" s="120"/>
      <c r="F18" s="120"/>
      <c r="G18" s="11"/>
    </row>
    <row r="19" spans="3:9" ht="14.25" customHeight="1" x14ac:dyDescent="0.25">
      <c r="C19" s="11"/>
      <c r="D19" s="11"/>
      <c r="E19" s="11"/>
      <c r="F19" s="11"/>
      <c r="G19" s="11"/>
    </row>
    <row r="20" spans="3:9" x14ac:dyDescent="0.25">
      <c r="C20" s="17"/>
      <c r="D20" s="11"/>
      <c r="E20" s="11"/>
      <c r="F20" s="11"/>
      <c r="G20" s="11"/>
    </row>
    <row r="22" spans="3:9" ht="23.25" customHeight="1" x14ac:dyDescent="0.25">
      <c r="C22" s="17"/>
    </row>
    <row r="23" spans="3:9" ht="73.5" customHeight="1" x14ac:dyDescent="0.25">
      <c r="C23" s="120"/>
      <c r="D23" s="120"/>
      <c r="E23" s="120"/>
      <c r="F23" s="120"/>
    </row>
    <row r="24" spans="3:9" ht="21.75" customHeight="1" x14ac:dyDescent="0.25">
      <c r="C24" s="12"/>
      <c r="D24" s="12"/>
      <c r="E24" s="12"/>
      <c r="F24" s="12"/>
    </row>
    <row r="25" spans="3:9" x14ac:dyDescent="0.25">
      <c r="C25" s="18"/>
      <c r="F25" s="90"/>
    </row>
    <row r="26" spans="3:9" ht="15.75" x14ac:dyDescent="0.25">
      <c r="C26" s="5"/>
    </row>
    <row r="28" spans="3:9" ht="15.75" x14ac:dyDescent="0.25">
      <c r="C28" s="5"/>
    </row>
    <row r="29" spans="3:9" ht="15.75" x14ac:dyDescent="0.25">
      <c r="C29" s="5"/>
      <c r="D29" s="19"/>
      <c r="G29" s="20"/>
    </row>
    <row r="31" spans="3:9" ht="16.5" thickBot="1" x14ac:dyDescent="0.3">
      <c r="C31" s="6" t="s">
        <v>8</v>
      </c>
    </row>
    <row r="32" spans="3:9" x14ac:dyDescent="0.25">
      <c r="C32" s="32" t="s">
        <v>137</v>
      </c>
      <c r="D32" s="33"/>
      <c r="E32" s="33"/>
      <c r="F32" s="33"/>
      <c r="G32" s="34"/>
      <c r="I32" t="s">
        <v>279</v>
      </c>
    </row>
    <row r="33" spans="3:7" x14ac:dyDescent="0.25">
      <c r="C33" s="85"/>
      <c r="D33" s="83"/>
      <c r="E33" s="83">
        <v>12</v>
      </c>
      <c r="F33" s="84">
        <v>24</v>
      </c>
      <c r="G33" s="86">
        <f>E33*F33</f>
        <v>288</v>
      </c>
    </row>
    <row r="34" spans="3:7" ht="16.5" thickBot="1" x14ac:dyDescent="0.3">
      <c r="C34" s="87" t="s">
        <v>8</v>
      </c>
      <c r="D34" s="88"/>
      <c r="E34" s="88">
        <v>2</v>
      </c>
      <c r="F34" s="88">
        <v>85</v>
      </c>
      <c r="G34" s="89">
        <f>F34*E34</f>
        <v>170</v>
      </c>
    </row>
    <row r="36" spans="3:7" ht="15.75" x14ac:dyDescent="0.25">
      <c r="C36" s="5"/>
    </row>
    <row r="38" spans="3:7" ht="15.75" x14ac:dyDescent="0.25">
      <c r="C38" s="5"/>
    </row>
    <row r="42" spans="3:7" ht="15.75" x14ac:dyDescent="0.25">
      <c r="C42" s="5"/>
    </row>
    <row r="44" spans="3:7" ht="15.75" x14ac:dyDescent="0.25">
      <c r="C44" s="5"/>
    </row>
    <row r="46" spans="3:7" ht="15.75" x14ac:dyDescent="0.25">
      <c r="C46" s="5" t="s">
        <v>8</v>
      </c>
    </row>
    <row r="48" spans="3:7" ht="15.75" x14ac:dyDescent="0.25">
      <c r="C48" s="5" t="s">
        <v>8</v>
      </c>
    </row>
    <row r="50" spans="3:3" ht="15.75" x14ac:dyDescent="0.25">
      <c r="C50" s="5"/>
    </row>
    <row r="52" spans="3:3" ht="15.75" x14ac:dyDescent="0.25">
      <c r="C52" s="5"/>
    </row>
  </sheetData>
  <mergeCells count="4">
    <mergeCell ref="C18:F18"/>
    <mergeCell ref="C23:F23"/>
    <mergeCell ref="C9:E9"/>
    <mergeCell ref="C17:E17"/>
  </mergeCells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ColWidth="8.85546875" defaultRowHeight="15" x14ac:dyDescent="0.25"/>
  <sheetData/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opLeftCell="A3" workbookViewId="0">
      <selection activeCell="D21" activeCellId="2" sqref="D17 D19 D21"/>
    </sheetView>
  </sheetViews>
  <sheetFormatPr defaultColWidth="8.85546875" defaultRowHeight="15" x14ac:dyDescent="0.25"/>
  <cols>
    <col min="2" max="2" width="16.42578125" customWidth="1"/>
    <col min="3" max="3" width="17.140625" customWidth="1"/>
    <col min="16" max="16" width="10.42578125" bestFit="1" customWidth="1"/>
  </cols>
  <sheetData>
    <row r="2" spans="2:16" x14ac:dyDescent="0.25">
      <c r="B2" s="2"/>
      <c r="C2" t="s">
        <v>280</v>
      </c>
      <c r="H2" t="s">
        <v>8</v>
      </c>
    </row>
    <row r="3" spans="2:16" x14ac:dyDescent="0.25">
      <c r="B3" s="2"/>
      <c r="D3" t="s">
        <v>8</v>
      </c>
      <c r="F3" t="s">
        <v>285</v>
      </c>
      <c r="H3" t="s">
        <v>8</v>
      </c>
      <c r="N3" t="s">
        <v>303</v>
      </c>
      <c r="P3" s="40">
        <f>D24*D4</f>
        <v>4050</v>
      </c>
    </row>
    <row r="4" spans="2:16" x14ac:dyDescent="0.25">
      <c r="B4" s="2">
        <v>1</v>
      </c>
      <c r="C4" t="s">
        <v>281</v>
      </c>
      <c r="D4">
        <v>27</v>
      </c>
      <c r="E4" t="s">
        <v>8</v>
      </c>
      <c r="F4" t="s">
        <v>286</v>
      </c>
    </row>
    <row r="5" spans="2:16" x14ac:dyDescent="0.25">
      <c r="B5" s="2"/>
      <c r="C5" t="s">
        <v>8</v>
      </c>
      <c r="E5" t="s">
        <v>8</v>
      </c>
      <c r="N5" t="s">
        <v>4</v>
      </c>
      <c r="P5" s="39">
        <f>D22*D4</f>
        <v>3037.5</v>
      </c>
    </row>
    <row r="6" spans="2:16" x14ac:dyDescent="0.25">
      <c r="B6" s="2">
        <v>2</v>
      </c>
      <c r="C6" t="s">
        <v>282</v>
      </c>
      <c r="D6" s="38">
        <v>12.5</v>
      </c>
      <c r="E6" t="s">
        <v>8</v>
      </c>
      <c r="F6" t="s">
        <v>287</v>
      </c>
    </row>
    <row r="7" spans="2:16" x14ac:dyDescent="0.25">
      <c r="B7" s="2"/>
      <c r="D7" s="39" t="s">
        <v>8</v>
      </c>
      <c r="N7" t="s">
        <v>304</v>
      </c>
      <c r="P7" s="21">
        <f>P3-P5</f>
        <v>1012.5</v>
      </c>
    </row>
    <row r="8" spans="2:16" x14ac:dyDescent="0.25">
      <c r="B8" s="2">
        <v>3</v>
      </c>
      <c r="C8" t="s">
        <v>283</v>
      </c>
      <c r="D8">
        <f>3*3</f>
        <v>9</v>
      </c>
      <c r="F8" t="s">
        <v>288</v>
      </c>
    </row>
    <row r="9" spans="2:16" x14ac:dyDescent="0.25">
      <c r="B9" s="2"/>
      <c r="F9" t="s">
        <v>289</v>
      </c>
    </row>
    <row r="10" spans="2:16" x14ac:dyDescent="0.25">
      <c r="B10" s="2">
        <v>4</v>
      </c>
      <c r="C10" t="s">
        <v>284</v>
      </c>
      <c r="D10">
        <v>2</v>
      </c>
      <c r="F10" t="s">
        <v>290</v>
      </c>
    </row>
    <row r="11" spans="2:16" x14ac:dyDescent="0.25">
      <c r="B11" s="2"/>
      <c r="F11" t="s">
        <v>291</v>
      </c>
    </row>
    <row r="12" spans="2:16" x14ac:dyDescent="0.25">
      <c r="B12" s="2"/>
      <c r="F12" t="s">
        <v>292</v>
      </c>
    </row>
    <row r="13" spans="2:16" x14ac:dyDescent="0.25">
      <c r="B13" s="2">
        <v>5</v>
      </c>
      <c r="C13" t="s">
        <v>42</v>
      </c>
      <c r="D13" s="21">
        <v>50</v>
      </c>
      <c r="F13" t="s">
        <v>293</v>
      </c>
    </row>
    <row r="14" spans="2:16" x14ac:dyDescent="0.25">
      <c r="B14" s="2"/>
      <c r="D14" s="39">
        <f>D13/8*9</f>
        <v>56.25</v>
      </c>
      <c r="F14" t="s">
        <v>294</v>
      </c>
    </row>
    <row r="15" spans="2:16" x14ac:dyDescent="0.25">
      <c r="B15" s="2">
        <v>6</v>
      </c>
      <c r="C15" t="s">
        <v>295</v>
      </c>
      <c r="D15" s="21">
        <v>10</v>
      </c>
      <c r="F15" t="s">
        <v>296</v>
      </c>
    </row>
    <row r="16" spans="2:16" x14ac:dyDescent="0.25">
      <c r="B16" s="2"/>
      <c r="D16" s="39">
        <f>D15/8*9</f>
        <v>11.25</v>
      </c>
      <c r="F16" t="s">
        <v>297</v>
      </c>
    </row>
    <row r="17" spans="2:6" x14ac:dyDescent="0.25">
      <c r="B17" s="2">
        <v>7</v>
      </c>
      <c r="C17" t="s">
        <v>298</v>
      </c>
      <c r="D17" s="39">
        <v>5</v>
      </c>
      <c r="F17" t="s">
        <v>300</v>
      </c>
    </row>
    <row r="18" spans="2:6" x14ac:dyDescent="0.25">
      <c r="B18" s="2"/>
      <c r="D18" s="39"/>
    </row>
    <row r="19" spans="2:6" x14ac:dyDescent="0.25">
      <c r="B19" s="2">
        <v>8</v>
      </c>
      <c r="C19" t="s">
        <v>301</v>
      </c>
      <c r="D19" s="39">
        <v>15</v>
      </c>
      <c r="F19" t="s">
        <v>307</v>
      </c>
    </row>
    <row r="20" spans="2:6" x14ac:dyDescent="0.25">
      <c r="B20" s="2"/>
      <c r="D20" s="39"/>
    </row>
    <row r="21" spans="2:6" x14ac:dyDescent="0.25">
      <c r="B21" s="2">
        <v>9</v>
      </c>
      <c r="C21" t="s">
        <v>305</v>
      </c>
      <c r="D21" s="39">
        <v>12.5</v>
      </c>
      <c r="F21" t="s">
        <v>306</v>
      </c>
    </row>
    <row r="22" spans="2:6" ht="21.75" customHeight="1" x14ac:dyDescent="0.25">
      <c r="B22" s="2"/>
      <c r="C22" t="s">
        <v>299</v>
      </c>
      <c r="D22" s="40">
        <f>D6+D14+D16+D17+D19+D21</f>
        <v>112.5</v>
      </c>
    </row>
    <row r="23" spans="2:6" x14ac:dyDescent="0.25">
      <c r="B23" s="2"/>
    </row>
    <row r="24" spans="2:6" x14ac:dyDescent="0.25">
      <c r="C24" t="s">
        <v>302</v>
      </c>
      <c r="D24" s="21">
        <v>150</v>
      </c>
    </row>
  </sheetData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2"/>
  <sheetViews>
    <sheetView zoomScaleSheetLayoutView="90" workbookViewId="0">
      <selection activeCell="D11" sqref="D11"/>
    </sheetView>
  </sheetViews>
  <sheetFormatPr defaultColWidth="8.85546875" defaultRowHeight="15" x14ac:dyDescent="0.25"/>
  <cols>
    <col min="2" max="3" width="16.140625" customWidth="1"/>
    <col min="4" max="4" width="26" customWidth="1"/>
    <col min="5" max="6" width="10.85546875" customWidth="1"/>
    <col min="7" max="7" width="11.42578125" bestFit="1" customWidth="1"/>
    <col min="8" max="8" width="13.7109375" customWidth="1"/>
    <col min="9" max="14" width="10.7109375" customWidth="1"/>
    <col min="15" max="15" width="14.140625" customWidth="1"/>
    <col min="17" max="17" width="54.7109375" bestFit="1" customWidth="1"/>
  </cols>
  <sheetData>
    <row r="1" spans="1:17" x14ac:dyDescent="0.25">
      <c r="A1" s="19" t="s">
        <v>185</v>
      </c>
      <c r="G1" s="13"/>
      <c r="H1" s="21"/>
    </row>
    <row r="2" spans="1:17" x14ac:dyDescent="0.25">
      <c r="A2" s="19"/>
      <c r="G2" s="13"/>
      <c r="H2" s="21"/>
    </row>
    <row r="3" spans="1:17" x14ac:dyDescent="0.25">
      <c r="B3" s="19" t="s">
        <v>0</v>
      </c>
      <c r="C3" s="19"/>
      <c r="G3" s="13"/>
      <c r="H3" s="21"/>
    </row>
    <row r="4" spans="1:17" x14ac:dyDescent="0.25">
      <c r="B4" s="19" t="s">
        <v>1</v>
      </c>
      <c r="C4" s="19"/>
      <c r="G4" s="13"/>
      <c r="H4" s="21"/>
      <c r="I4" t="s">
        <v>8</v>
      </c>
      <c r="Q4" t="s">
        <v>181</v>
      </c>
    </row>
    <row r="5" spans="1:17" x14ac:dyDescent="0.25">
      <c r="B5" t="s">
        <v>227</v>
      </c>
      <c r="G5" s="13"/>
      <c r="H5" s="21"/>
    </row>
    <row r="6" spans="1:17" x14ac:dyDescent="0.25">
      <c r="G6" s="13"/>
      <c r="H6" s="21"/>
    </row>
    <row r="7" spans="1:17" x14ac:dyDescent="0.25">
      <c r="B7" t="s">
        <v>2</v>
      </c>
      <c r="G7" s="13"/>
      <c r="H7" s="21">
        <v>15600</v>
      </c>
    </row>
    <row r="8" spans="1:17" x14ac:dyDescent="0.25">
      <c r="D8" t="s">
        <v>26</v>
      </c>
      <c r="G8" s="13"/>
      <c r="H8" s="31">
        <v>15000</v>
      </c>
      <c r="Q8" t="s">
        <v>136</v>
      </c>
    </row>
    <row r="9" spans="1:17" x14ac:dyDescent="0.25">
      <c r="D9" s="19" t="s">
        <v>27</v>
      </c>
      <c r="G9" s="13"/>
      <c r="H9" s="24">
        <f>H8+H7</f>
        <v>30600</v>
      </c>
    </row>
    <row r="10" spans="1:17" x14ac:dyDescent="0.25">
      <c r="C10" s="19" t="s">
        <v>247</v>
      </c>
      <c r="G10" s="13"/>
      <c r="H10" s="21"/>
      <c r="I10" s="46" t="s">
        <v>199</v>
      </c>
      <c r="J10" s="45" t="s">
        <v>200</v>
      </c>
      <c r="K10" s="45" t="s">
        <v>201</v>
      </c>
      <c r="L10" s="45" t="s">
        <v>139</v>
      </c>
      <c r="M10" s="45" t="s">
        <v>202</v>
      </c>
      <c r="N10" s="45" t="s">
        <v>203</v>
      </c>
      <c r="O10" s="45" t="s">
        <v>213</v>
      </c>
    </row>
    <row r="11" spans="1:17" x14ac:dyDescent="0.25">
      <c r="B11" s="60" t="s">
        <v>214</v>
      </c>
      <c r="C11" s="60"/>
      <c r="F11" s="2" t="s">
        <v>6</v>
      </c>
      <c r="G11" s="13"/>
      <c r="H11" s="21"/>
      <c r="I11" s="47"/>
      <c r="O11" s="52"/>
    </row>
    <row r="12" spans="1:17" x14ac:dyDescent="0.25">
      <c r="D12" s="30" t="s">
        <v>31</v>
      </c>
      <c r="E12" s="42">
        <v>350</v>
      </c>
      <c r="F12" s="30">
        <v>43</v>
      </c>
      <c r="G12" s="37">
        <f>E12*F12</f>
        <v>15050</v>
      </c>
      <c r="H12" s="21"/>
      <c r="I12" s="48">
        <f>100*F12</f>
        <v>4300</v>
      </c>
      <c r="J12" s="21">
        <f>250*F12</f>
        <v>10750</v>
      </c>
      <c r="O12" s="52"/>
      <c r="Q12" t="s">
        <v>223</v>
      </c>
    </row>
    <row r="13" spans="1:17" x14ac:dyDescent="0.25">
      <c r="D13" s="30" t="s">
        <v>237</v>
      </c>
      <c r="E13" s="42">
        <v>100</v>
      </c>
      <c r="F13" s="30">
        <v>7</v>
      </c>
      <c r="G13" s="37">
        <f>F13*E13</f>
        <v>700</v>
      </c>
      <c r="H13" s="21"/>
      <c r="I13" s="48">
        <f>G13</f>
        <v>700</v>
      </c>
      <c r="J13" s="21"/>
      <c r="O13" s="52"/>
    </row>
    <row r="14" spans="1:17" x14ac:dyDescent="0.25">
      <c r="D14" s="22" t="s">
        <v>32</v>
      </c>
      <c r="E14" s="1">
        <v>100</v>
      </c>
      <c r="F14">
        <v>10</v>
      </c>
      <c r="G14" s="13">
        <f>E14*F14</f>
        <v>1000</v>
      </c>
      <c r="H14" s="21"/>
      <c r="I14" s="49">
        <f>((F14*E14)/3)</f>
        <v>333.33333333333331</v>
      </c>
      <c r="J14" s="1">
        <f>((F14*E14)/3)*2</f>
        <v>666.66666666666663</v>
      </c>
      <c r="O14" s="52"/>
    </row>
    <row r="15" spans="1:17" x14ac:dyDescent="0.25">
      <c r="D15" t="s">
        <v>224</v>
      </c>
      <c r="E15" s="1">
        <v>150</v>
      </c>
      <c r="F15">
        <v>10</v>
      </c>
      <c r="G15" s="13">
        <f>F15*E15</f>
        <v>1500</v>
      </c>
      <c r="H15" s="21"/>
      <c r="I15" s="49">
        <f>((F15*E15)/3)*2</f>
        <v>1000</v>
      </c>
      <c r="J15" s="1">
        <f>(F15*E15)/3</f>
        <v>500</v>
      </c>
      <c r="O15" s="52"/>
      <c r="Q15" t="s">
        <v>171</v>
      </c>
    </row>
    <row r="16" spans="1:17" x14ac:dyDescent="0.25">
      <c r="D16" t="s">
        <v>238</v>
      </c>
      <c r="E16" s="1">
        <v>350</v>
      </c>
      <c r="F16" s="30">
        <v>17</v>
      </c>
      <c r="G16" s="13">
        <f>F16*E16</f>
        <v>5950</v>
      </c>
      <c r="H16" s="21"/>
      <c r="I16" s="47"/>
      <c r="K16" s="1">
        <f>F16*E16</f>
        <v>5950</v>
      </c>
      <c r="O16" s="52"/>
      <c r="Q16" s="18" t="s">
        <v>8</v>
      </c>
    </row>
    <row r="17" spans="4:17" x14ac:dyDescent="0.25">
      <c r="D17" t="s">
        <v>235</v>
      </c>
      <c r="E17" s="1">
        <v>200</v>
      </c>
      <c r="F17">
        <v>12</v>
      </c>
      <c r="G17" s="13">
        <f>F17*E17</f>
        <v>2400</v>
      </c>
      <c r="H17" s="21"/>
      <c r="I17" s="47"/>
      <c r="L17" s="1">
        <f>F17*E17</f>
        <v>2400</v>
      </c>
      <c r="O17" s="52"/>
      <c r="Q17" t="s">
        <v>145</v>
      </c>
    </row>
    <row r="18" spans="4:17" x14ac:dyDescent="0.25">
      <c r="D18" t="s">
        <v>236</v>
      </c>
      <c r="E18" s="1">
        <v>200</v>
      </c>
      <c r="F18">
        <v>10</v>
      </c>
      <c r="G18" s="13">
        <f>F18*E18</f>
        <v>2000</v>
      </c>
      <c r="H18" s="21"/>
      <c r="I18" s="47"/>
      <c r="L18" s="1">
        <f>F18*E18</f>
        <v>2000</v>
      </c>
      <c r="O18" s="52"/>
      <c r="Q18" t="s">
        <v>141</v>
      </c>
    </row>
    <row r="19" spans="4:17" ht="14.25" customHeight="1" x14ac:dyDescent="0.25">
      <c r="D19" s="22" t="s">
        <v>34</v>
      </c>
      <c r="E19" s="42">
        <v>100</v>
      </c>
      <c r="F19">
        <v>10</v>
      </c>
      <c r="G19" s="13">
        <f>F19*E19</f>
        <v>1000</v>
      </c>
      <c r="H19" s="21"/>
      <c r="I19" s="49">
        <f>((F19*E19)/3)</f>
        <v>333.33333333333331</v>
      </c>
      <c r="J19" s="1">
        <f>((F19*E19)/3)*2</f>
        <v>666.66666666666663</v>
      </c>
      <c r="O19" s="52"/>
      <c r="Q19" t="s">
        <v>225</v>
      </c>
    </row>
    <row r="20" spans="4:17" x14ac:dyDescent="0.25">
      <c r="D20" s="23" t="s">
        <v>45</v>
      </c>
      <c r="E20" s="1"/>
      <c r="G20" s="20">
        <f>SUM(G12:G19)</f>
        <v>29600</v>
      </c>
      <c r="H20" s="21"/>
      <c r="I20" s="50">
        <f>SUM(I12:I19)</f>
        <v>6666.6666666666661</v>
      </c>
      <c r="J20" s="20">
        <f>SUM(J12:J19)</f>
        <v>12583.333333333332</v>
      </c>
      <c r="K20" s="20">
        <f>SUM(K12:K19)</f>
        <v>5950</v>
      </c>
      <c r="L20" s="20">
        <f>SUM(L12:L19)</f>
        <v>4400</v>
      </c>
      <c r="O20" s="53">
        <f>+I20+J20+K20+L20</f>
        <v>29600</v>
      </c>
    </row>
    <row r="21" spans="4:17" x14ac:dyDescent="0.25">
      <c r="D21" s="23"/>
      <c r="E21" s="1"/>
      <c r="G21" s="13"/>
      <c r="H21" s="21"/>
      <c r="I21" s="47"/>
      <c r="O21" s="52"/>
    </row>
    <row r="22" spans="4:17" x14ac:dyDescent="0.25">
      <c r="D22" t="s">
        <v>36</v>
      </c>
      <c r="G22" s="13"/>
      <c r="H22" s="21"/>
      <c r="I22" s="47"/>
      <c r="O22" s="52"/>
    </row>
    <row r="23" spans="4:17" x14ac:dyDescent="0.25">
      <c r="D23" s="22" t="s">
        <v>131</v>
      </c>
      <c r="E23" s="21">
        <v>80</v>
      </c>
      <c r="F23">
        <v>10</v>
      </c>
      <c r="G23" s="13">
        <f t="shared" ref="G23:G33" si="0">F23*E23</f>
        <v>800</v>
      </c>
      <c r="H23" s="21"/>
      <c r="I23" s="47"/>
      <c r="K23" t="s">
        <v>8</v>
      </c>
      <c r="M23" s="13">
        <f>+G23+G24+G25</f>
        <v>2400</v>
      </c>
      <c r="N23" s="13">
        <f>+G28+G30-(I28+I30)</f>
        <v>8100</v>
      </c>
      <c r="O23" s="52"/>
      <c r="Q23" t="s">
        <v>146</v>
      </c>
    </row>
    <row r="24" spans="4:17" x14ac:dyDescent="0.25">
      <c r="D24" s="22" t="s">
        <v>132</v>
      </c>
      <c r="E24" s="21">
        <v>80</v>
      </c>
      <c r="F24">
        <v>10</v>
      </c>
      <c r="G24" s="13">
        <f t="shared" si="0"/>
        <v>800</v>
      </c>
      <c r="H24" s="21"/>
      <c r="I24" s="47"/>
      <c r="J24" t="s">
        <v>8</v>
      </c>
      <c r="K24" t="s">
        <v>8</v>
      </c>
      <c r="O24" s="52"/>
    </row>
    <row r="25" spans="4:17" x14ac:dyDescent="0.25">
      <c r="D25" s="22" t="s">
        <v>133</v>
      </c>
      <c r="E25" s="21">
        <v>80</v>
      </c>
      <c r="F25">
        <v>10</v>
      </c>
      <c r="G25" s="13">
        <f t="shared" si="0"/>
        <v>800</v>
      </c>
      <c r="H25" s="21"/>
      <c r="I25" s="47"/>
      <c r="O25" s="52"/>
    </row>
    <row r="26" spans="4:17" x14ac:dyDescent="0.25">
      <c r="D26" s="22" t="s">
        <v>226</v>
      </c>
      <c r="E26" s="21">
        <v>100</v>
      </c>
      <c r="F26">
        <v>1</v>
      </c>
      <c r="G26" s="13">
        <f>F26*E26</f>
        <v>100</v>
      </c>
      <c r="H26" s="21"/>
      <c r="I26" s="51">
        <f>+G26</f>
        <v>100</v>
      </c>
      <c r="O26" s="52"/>
    </row>
    <row r="27" spans="4:17" x14ac:dyDescent="0.25">
      <c r="D27" s="22" t="s">
        <v>168</v>
      </c>
      <c r="E27" s="41">
        <v>125</v>
      </c>
      <c r="F27">
        <v>1</v>
      </c>
      <c r="G27" s="13">
        <f>F27*E27</f>
        <v>125</v>
      </c>
      <c r="H27" s="21"/>
      <c r="I27" s="47"/>
      <c r="J27" s="13">
        <f>+G27</f>
        <v>125</v>
      </c>
      <c r="O27" s="52"/>
      <c r="Q27" t="s">
        <v>232</v>
      </c>
    </row>
    <row r="28" spans="4:17" x14ac:dyDescent="0.25">
      <c r="D28" s="22" t="s">
        <v>37</v>
      </c>
      <c r="E28" s="21">
        <v>650</v>
      </c>
      <c r="F28">
        <v>12</v>
      </c>
      <c r="G28" s="13">
        <f t="shared" si="0"/>
        <v>7800</v>
      </c>
      <c r="H28" s="21"/>
      <c r="I28" s="47">
        <f>100*F28</f>
        <v>1200</v>
      </c>
      <c r="O28" s="52"/>
      <c r="Q28" t="s">
        <v>8</v>
      </c>
    </row>
    <row r="29" spans="4:17" x14ac:dyDescent="0.25">
      <c r="D29" s="22" t="s">
        <v>230</v>
      </c>
      <c r="E29" s="21">
        <v>100</v>
      </c>
      <c r="F29">
        <v>4</v>
      </c>
      <c r="G29" s="13">
        <f t="shared" si="0"/>
        <v>400</v>
      </c>
      <c r="H29" s="21"/>
      <c r="I29" s="47"/>
      <c r="J29" s="13">
        <f>+G29</f>
        <v>400</v>
      </c>
      <c r="O29" s="52"/>
      <c r="Q29" t="s">
        <v>231</v>
      </c>
    </row>
    <row r="30" spans="4:17" x14ac:dyDescent="0.25">
      <c r="D30" s="22" t="s">
        <v>228</v>
      </c>
      <c r="E30" s="21">
        <f>50+250</f>
        <v>300</v>
      </c>
      <c r="F30">
        <v>6</v>
      </c>
      <c r="G30" s="13">
        <f t="shared" si="0"/>
        <v>1800</v>
      </c>
      <c r="H30" s="21"/>
      <c r="I30" s="47">
        <f>(100*F30)*0.5</f>
        <v>300</v>
      </c>
      <c r="O30" s="52"/>
      <c r="Q30" t="s">
        <v>172</v>
      </c>
    </row>
    <row r="31" spans="4:17" x14ac:dyDescent="0.25">
      <c r="D31" s="22" t="s">
        <v>229</v>
      </c>
      <c r="E31" s="41">
        <v>100</v>
      </c>
      <c r="F31">
        <v>4</v>
      </c>
      <c r="G31" s="13">
        <f t="shared" si="0"/>
        <v>400</v>
      </c>
      <c r="H31" s="21"/>
      <c r="I31" s="51">
        <f>+G31</f>
        <v>400</v>
      </c>
      <c r="O31" s="52"/>
      <c r="Q31" t="s">
        <v>183</v>
      </c>
    </row>
    <row r="32" spans="4:17" x14ac:dyDescent="0.25">
      <c r="D32" s="22" t="s">
        <v>134</v>
      </c>
      <c r="E32" s="41">
        <v>200</v>
      </c>
      <c r="F32">
        <v>8</v>
      </c>
      <c r="G32" s="13">
        <f t="shared" si="0"/>
        <v>1600</v>
      </c>
      <c r="H32" s="21"/>
      <c r="I32" s="47"/>
      <c r="M32" s="13">
        <f>+G32</f>
        <v>1600</v>
      </c>
      <c r="O32" s="52"/>
      <c r="Q32" t="s">
        <v>184</v>
      </c>
    </row>
    <row r="33" spans="2:17" x14ac:dyDescent="0.25">
      <c r="D33" s="22" t="s">
        <v>175</v>
      </c>
      <c r="E33" s="41">
        <v>120</v>
      </c>
      <c r="F33">
        <v>4</v>
      </c>
      <c r="G33" s="13">
        <f t="shared" si="0"/>
        <v>480</v>
      </c>
      <c r="H33" s="21"/>
      <c r="I33" s="51">
        <f>+G33</f>
        <v>480</v>
      </c>
      <c r="O33" s="52"/>
      <c r="Q33" t="s">
        <v>176</v>
      </c>
    </row>
    <row r="34" spans="2:17" x14ac:dyDescent="0.25">
      <c r="D34" s="23" t="s">
        <v>48</v>
      </c>
      <c r="G34" s="20">
        <f>SUM(G23:G33)</f>
        <v>15105</v>
      </c>
      <c r="H34" s="21"/>
      <c r="I34" s="50">
        <f>SUM(I23:I33)</f>
        <v>2480</v>
      </c>
      <c r="J34" s="50">
        <f>SUM(J23:J33)</f>
        <v>525</v>
      </c>
      <c r="M34" s="20">
        <f>SUM(M23:M33)</f>
        <v>4000</v>
      </c>
      <c r="N34" s="20">
        <f>SUM(N23:N33)</f>
        <v>8100</v>
      </c>
      <c r="O34" s="53">
        <f>+I34+M34+N34+J34</f>
        <v>15105</v>
      </c>
    </row>
    <row r="35" spans="2:17" x14ac:dyDescent="0.25">
      <c r="D35" s="18" t="s">
        <v>166</v>
      </c>
      <c r="G35" s="20">
        <f>Equipment!D26</f>
        <v>-12500</v>
      </c>
      <c r="H35" s="21"/>
      <c r="I35" s="50"/>
      <c r="O35" s="52"/>
      <c r="Q35" t="s">
        <v>178</v>
      </c>
    </row>
    <row r="36" spans="2:17" x14ac:dyDescent="0.25">
      <c r="D36" s="23" t="s">
        <v>49</v>
      </c>
      <c r="G36" s="20"/>
      <c r="H36" s="24">
        <f>G34+G20+G35</f>
        <v>32205</v>
      </c>
      <c r="I36" s="50">
        <f>+I34+I20</f>
        <v>9146.6666666666661</v>
      </c>
      <c r="J36" s="20">
        <f>+J20+J34</f>
        <v>13108.333333333332</v>
      </c>
      <c r="K36" s="20">
        <f>+K20</f>
        <v>5950</v>
      </c>
      <c r="L36" s="20">
        <f>+L20</f>
        <v>4400</v>
      </c>
      <c r="M36" s="20">
        <f>+M34</f>
        <v>4000</v>
      </c>
      <c r="N36" s="20">
        <f>+N34</f>
        <v>8100</v>
      </c>
      <c r="O36" s="53">
        <f>+I20+J20+K20+L20+I34+M34+N34+J34</f>
        <v>44705</v>
      </c>
      <c r="Q36" t="s">
        <v>204</v>
      </c>
    </row>
    <row r="37" spans="2:17" x14ac:dyDescent="0.25">
      <c r="D37" s="23"/>
      <c r="G37" s="20"/>
      <c r="H37" s="21" t="s">
        <v>218</v>
      </c>
      <c r="I37" s="47"/>
      <c r="O37" s="61" t="s">
        <v>217</v>
      </c>
    </row>
    <row r="38" spans="2:17" x14ac:dyDescent="0.25">
      <c r="B38" s="60" t="s">
        <v>215</v>
      </c>
      <c r="C38" s="60"/>
      <c r="G38" s="13"/>
      <c r="H38" s="21"/>
      <c r="I38" s="46" t="s">
        <v>199</v>
      </c>
      <c r="J38" s="45" t="s">
        <v>200</v>
      </c>
      <c r="K38" s="45" t="s">
        <v>201</v>
      </c>
      <c r="L38" s="45" t="s">
        <v>139</v>
      </c>
      <c r="M38" s="45" t="s">
        <v>202</v>
      </c>
      <c r="N38" s="45" t="s">
        <v>203</v>
      </c>
      <c r="O38" s="56" t="s">
        <v>18</v>
      </c>
    </row>
    <row r="39" spans="2:17" x14ac:dyDescent="0.25">
      <c r="D39" t="s">
        <v>19</v>
      </c>
      <c r="G39" s="13">
        <f>12500+2500</f>
        <v>15000</v>
      </c>
      <c r="H39" s="21"/>
      <c r="I39" s="47"/>
      <c r="O39" s="52"/>
      <c r="Q39" t="s">
        <v>177</v>
      </c>
    </row>
    <row r="40" spans="2:17" x14ac:dyDescent="0.25">
      <c r="D40" t="s">
        <v>35</v>
      </c>
      <c r="G40" s="13">
        <v>5000</v>
      </c>
      <c r="H40" s="21"/>
      <c r="I40" s="47"/>
      <c r="O40" s="52"/>
    </row>
    <row r="41" spans="2:17" x14ac:dyDescent="0.25">
      <c r="D41" t="s">
        <v>20</v>
      </c>
      <c r="G41" s="13">
        <v>3000</v>
      </c>
      <c r="H41" s="21"/>
      <c r="I41" s="47"/>
      <c r="K41" t="s">
        <v>8</v>
      </c>
      <c r="O41" s="52"/>
    </row>
    <row r="42" spans="2:17" x14ac:dyDescent="0.25">
      <c r="D42" t="s">
        <v>21</v>
      </c>
      <c r="G42" s="13">
        <v>900</v>
      </c>
      <c r="H42" s="21"/>
      <c r="I42" s="47"/>
      <c r="O42" s="52"/>
      <c r="Q42" t="s">
        <v>179</v>
      </c>
    </row>
    <row r="43" spans="2:17" x14ac:dyDescent="0.25">
      <c r="D43" t="s">
        <v>22</v>
      </c>
      <c r="G43" s="13">
        <v>500</v>
      </c>
      <c r="H43" s="21"/>
      <c r="I43" s="47"/>
      <c r="O43" s="52"/>
    </row>
    <row r="44" spans="2:17" x14ac:dyDescent="0.25">
      <c r="D44" t="s">
        <v>30</v>
      </c>
      <c r="G44" s="13">
        <v>1000</v>
      </c>
      <c r="H44" s="21"/>
      <c r="I44" s="47"/>
      <c r="O44" s="52"/>
      <c r="Q44" t="s">
        <v>233</v>
      </c>
    </row>
    <row r="45" spans="2:17" x14ac:dyDescent="0.25">
      <c r="D45" t="s">
        <v>28</v>
      </c>
      <c r="G45" s="13">
        <v>1350</v>
      </c>
      <c r="H45" s="21"/>
      <c r="I45" s="47"/>
      <c r="O45" s="52"/>
      <c r="Q45" t="s">
        <v>8</v>
      </c>
    </row>
    <row r="46" spans="2:17" x14ac:dyDescent="0.25">
      <c r="D46" t="s">
        <v>29</v>
      </c>
      <c r="G46" s="13">
        <f>250+250+100</f>
        <v>600</v>
      </c>
      <c r="H46" s="21"/>
      <c r="I46" s="47"/>
      <c r="O46" s="52"/>
      <c r="Q46" t="s">
        <v>8</v>
      </c>
    </row>
    <row r="47" spans="2:17" x14ac:dyDescent="0.25">
      <c r="E47" s="19" t="s">
        <v>149</v>
      </c>
      <c r="G47" s="20">
        <f>SUM(G39:G46)</f>
        <v>27350</v>
      </c>
      <c r="H47" s="21"/>
      <c r="I47" s="47"/>
      <c r="O47" s="52"/>
    </row>
    <row r="48" spans="2:17" x14ac:dyDescent="0.25">
      <c r="E48" s="19"/>
      <c r="G48" s="20"/>
      <c r="H48" s="21"/>
      <c r="I48" s="47"/>
      <c r="O48" s="52"/>
    </row>
    <row r="49" spans="2:17" x14ac:dyDescent="0.25">
      <c r="B49" t="s">
        <v>206</v>
      </c>
      <c r="D49" t="s">
        <v>205</v>
      </c>
      <c r="G49" s="13"/>
      <c r="H49" s="21"/>
      <c r="I49" s="47">
        <f>+D99</f>
        <v>9350</v>
      </c>
      <c r="J49">
        <f>+E99</f>
        <v>12500</v>
      </c>
      <c r="K49">
        <f>+F99</f>
        <v>5500</v>
      </c>
      <c r="O49" s="57">
        <f>+I49+J49+K49</f>
        <v>27350</v>
      </c>
    </row>
    <row r="50" spans="2:17" x14ac:dyDescent="0.25">
      <c r="D50" t="s">
        <v>39</v>
      </c>
      <c r="G50" s="13"/>
      <c r="H50" s="21"/>
      <c r="I50" s="47"/>
      <c r="O50" s="52"/>
    </row>
    <row r="51" spans="2:17" x14ac:dyDescent="0.25">
      <c r="D51" s="22" t="s">
        <v>40</v>
      </c>
      <c r="G51" s="13">
        <f>F52+F53+F54</f>
        <v>3420</v>
      </c>
      <c r="H51" s="21"/>
      <c r="I51" s="47"/>
      <c r="O51" s="52"/>
      <c r="Q51" t="s">
        <v>154</v>
      </c>
    </row>
    <row r="52" spans="2:17" hidden="1" x14ac:dyDescent="0.25">
      <c r="D52" s="22"/>
      <c r="E52" t="s">
        <v>128</v>
      </c>
      <c r="F52" s="21">
        <f>32*3*10*3</f>
        <v>2880</v>
      </c>
      <c r="G52" s="13"/>
      <c r="H52" s="21"/>
      <c r="I52" s="47"/>
      <c r="N52" s="40">
        <f>+F52</f>
        <v>2880</v>
      </c>
      <c r="O52" s="52"/>
      <c r="Q52" t="s">
        <v>8</v>
      </c>
    </row>
    <row r="53" spans="2:17" hidden="1" x14ac:dyDescent="0.25">
      <c r="D53" s="22"/>
      <c r="E53" t="s">
        <v>129</v>
      </c>
      <c r="F53" s="21">
        <f>24*15</f>
        <v>360</v>
      </c>
      <c r="G53" s="13"/>
      <c r="H53" s="21"/>
      <c r="I53" s="47"/>
      <c r="M53" s="40">
        <f>+F53+F54</f>
        <v>540</v>
      </c>
      <c r="O53" s="52"/>
    </row>
    <row r="54" spans="2:17" hidden="1" x14ac:dyDescent="0.25">
      <c r="D54" s="22"/>
      <c r="E54" t="s">
        <v>134</v>
      </c>
      <c r="F54" s="21">
        <f>12*15</f>
        <v>180</v>
      </c>
      <c r="G54" s="13"/>
      <c r="H54" s="21"/>
      <c r="I54" s="47"/>
      <c r="O54" s="52"/>
    </row>
    <row r="55" spans="2:17" x14ac:dyDescent="0.25">
      <c r="D55" s="22" t="s">
        <v>41</v>
      </c>
      <c r="G55" s="37">
        <f>F56+F57+F58</f>
        <v>4002</v>
      </c>
      <c r="H55" s="21"/>
      <c r="I55" s="47"/>
      <c r="L55" t="s">
        <v>209</v>
      </c>
      <c r="O55" s="52"/>
      <c r="Q55" s="36" t="s">
        <v>170</v>
      </c>
    </row>
    <row r="56" spans="2:17" hidden="1" x14ac:dyDescent="0.25">
      <c r="D56" s="22"/>
      <c r="E56" t="s">
        <v>128</v>
      </c>
      <c r="F56" s="21">
        <f>32*3*37</f>
        <v>3552</v>
      </c>
      <c r="G56" s="37"/>
      <c r="H56" s="21"/>
      <c r="I56" s="47"/>
      <c r="N56" s="40">
        <f>+F56</f>
        <v>3552</v>
      </c>
      <c r="O56" s="52"/>
      <c r="Q56" s="36" t="s">
        <v>153</v>
      </c>
    </row>
    <row r="57" spans="2:17" hidden="1" x14ac:dyDescent="0.25">
      <c r="D57" s="22"/>
      <c r="E57" t="s">
        <v>129</v>
      </c>
      <c r="F57" s="21">
        <f>12*2*12.5</f>
        <v>300</v>
      </c>
      <c r="G57" s="37"/>
      <c r="H57" s="21"/>
      <c r="I57" s="47"/>
      <c r="M57" s="40">
        <f>+F57+F58</f>
        <v>450</v>
      </c>
      <c r="O57" s="52"/>
      <c r="Q57" s="36" t="s">
        <v>143</v>
      </c>
    </row>
    <row r="58" spans="2:17" hidden="1" x14ac:dyDescent="0.25">
      <c r="D58" s="22"/>
      <c r="E58" t="s">
        <v>134</v>
      </c>
      <c r="F58" s="21">
        <f>6*2*12.5</f>
        <v>150</v>
      </c>
      <c r="G58" s="37"/>
      <c r="H58" s="21"/>
      <c r="I58" s="47"/>
      <c r="O58" s="52"/>
      <c r="Q58" s="36" t="s">
        <v>144</v>
      </c>
    </row>
    <row r="59" spans="2:17" x14ac:dyDescent="0.25">
      <c r="D59" s="22" t="s">
        <v>42</v>
      </c>
      <c r="G59" s="13">
        <f>F60+F61+F62+F63</f>
        <v>5000</v>
      </c>
      <c r="H59" s="21"/>
      <c r="I59" s="47"/>
      <c r="O59" s="52"/>
      <c r="Q59" t="s">
        <v>152</v>
      </c>
    </row>
    <row r="60" spans="2:17" hidden="1" x14ac:dyDescent="0.25">
      <c r="D60" s="22"/>
      <c r="E60" t="s">
        <v>128</v>
      </c>
      <c r="F60" s="21">
        <f>32*50</f>
        <v>1600</v>
      </c>
      <c r="G60" s="13"/>
      <c r="H60" s="21"/>
      <c r="I60" s="47"/>
      <c r="N60" s="40">
        <f>+F60</f>
        <v>1600</v>
      </c>
      <c r="O60" s="52"/>
      <c r="Q60" t="s">
        <v>156</v>
      </c>
    </row>
    <row r="61" spans="2:17" hidden="1" x14ac:dyDescent="0.25">
      <c r="D61" s="22"/>
      <c r="E61" t="s">
        <v>139</v>
      </c>
      <c r="F61" s="21">
        <f>50*32</f>
        <v>1600</v>
      </c>
      <c r="G61" s="13"/>
      <c r="H61" s="21"/>
      <c r="I61" s="47"/>
      <c r="L61" s="40">
        <f>+F61</f>
        <v>1600</v>
      </c>
      <c r="M61" s="40">
        <f>+F63+F62</f>
        <v>1800</v>
      </c>
      <c r="O61" s="52"/>
      <c r="Q61" t="s">
        <v>155</v>
      </c>
    </row>
    <row r="62" spans="2:17" hidden="1" x14ac:dyDescent="0.25">
      <c r="D62" s="22"/>
      <c r="E62" t="s">
        <v>129</v>
      </c>
      <c r="F62" s="21">
        <f>24*50</f>
        <v>1200</v>
      </c>
      <c r="G62" s="13"/>
      <c r="H62" s="21"/>
      <c r="I62" s="47"/>
      <c r="O62" s="52"/>
      <c r="Q62" t="s">
        <v>167</v>
      </c>
    </row>
    <row r="63" spans="2:17" hidden="1" x14ac:dyDescent="0.25">
      <c r="D63" s="22"/>
      <c r="E63" t="s">
        <v>130</v>
      </c>
      <c r="F63" s="21">
        <f>6*2*50</f>
        <v>600</v>
      </c>
      <c r="G63" s="13"/>
      <c r="H63" s="21"/>
      <c r="I63" s="47"/>
      <c r="O63" s="52"/>
      <c r="Q63" t="s">
        <v>140</v>
      </c>
    </row>
    <row r="64" spans="2:17" x14ac:dyDescent="0.25">
      <c r="D64" s="22" t="s">
        <v>207</v>
      </c>
      <c r="F64" s="21"/>
      <c r="G64" s="13"/>
      <c r="H64" s="21"/>
      <c r="I64" s="47"/>
      <c r="L64" s="40">
        <f>+L61</f>
        <v>1600</v>
      </c>
      <c r="M64" s="40">
        <f>+M61+M57+M53</f>
        <v>2790</v>
      </c>
      <c r="N64" s="40">
        <f>+N60+N56+N52</f>
        <v>8032</v>
      </c>
      <c r="O64" s="54">
        <f>+L64+M64+N64</f>
        <v>12422</v>
      </c>
    </row>
    <row r="65" spans="2:17" x14ac:dyDescent="0.25">
      <c r="D65" s="22"/>
      <c r="F65" s="21"/>
      <c r="G65" s="13"/>
      <c r="H65" s="21"/>
      <c r="I65" s="47"/>
      <c r="L65" s="40"/>
      <c r="M65" s="40"/>
      <c r="N65" s="40"/>
      <c r="O65" s="52"/>
    </row>
    <row r="66" spans="2:17" x14ac:dyDescent="0.25">
      <c r="D66" s="22" t="s">
        <v>138</v>
      </c>
      <c r="G66" s="37">
        <v>0</v>
      </c>
      <c r="H66" s="21"/>
      <c r="I66" s="47"/>
      <c r="O66" s="52"/>
      <c r="Q66" t="s">
        <v>180</v>
      </c>
    </row>
    <row r="67" spans="2:17" x14ac:dyDescent="0.25">
      <c r="D67" s="22" t="s">
        <v>43</v>
      </c>
      <c r="G67" s="13">
        <v>2000</v>
      </c>
      <c r="H67" s="21"/>
      <c r="I67" s="47"/>
      <c r="O67" s="52"/>
      <c r="Q67" t="s">
        <v>221</v>
      </c>
    </row>
    <row r="68" spans="2:17" x14ac:dyDescent="0.25">
      <c r="D68" s="22" t="s">
        <v>46</v>
      </c>
      <c r="G68" s="13">
        <v>500</v>
      </c>
      <c r="H68" s="21"/>
      <c r="I68" s="47"/>
      <c r="O68" s="52"/>
      <c r="Q68" t="s">
        <v>147</v>
      </c>
    </row>
    <row r="69" spans="2:17" x14ac:dyDescent="0.25">
      <c r="D69" s="22" t="s">
        <v>208</v>
      </c>
      <c r="G69" s="13">
        <f>+G68+G67+G66</f>
        <v>2500</v>
      </c>
      <c r="H69" s="21"/>
      <c r="I69" s="47"/>
      <c r="L69" s="13">
        <f>0.25*G69</f>
        <v>625</v>
      </c>
      <c r="M69" s="13">
        <f>0.25*G69</f>
        <v>625</v>
      </c>
      <c r="N69" s="13">
        <f>0.5*G69</f>
        <v>1250</v>
      </c>
      <c r="O69" s="54">
        <f>+L69+M69+N69</f>
        <v>2500</v>
      </c>
    </row>
    <row r="70" spans="2:17" x14ac:dyDescent="0.25">
      <c r="D70" s="22"/>
      <c r="G70" s="13"/>
      <c r="H70" s="21"/>
      <c r="I70" s="47"/>
      <c r="O70" s="52"/>
    </row>
    <row r="71" spans="2:17" x14ac:dyDescent="0.25">
      <c r="D71" s="22"/>
      <c r="E71" s="19" t="s">
        <v>148</v>
      </c>
      <c r="G71" s="20">
        <f>SUM(G51:G68)</f>
        <v>14922</v>
      </c>
      <c r="H71" s="21"/>
      <c r="I71" s="47">
        <f>+I49</f>
        <v>9350</v>
      </c>
      <c r="J71" s="47">
        <f>+J49</f>
        <v>12500</v>
      </c>
      <c r="K71" s="47">
        <f>+K49</f>
        <v>5500</v>
      </c>
      <c r="L71" s="40">
        <f>+L69+L64</f>
        <v>2225</v>
      </c>
      <c r="M71" s="40">
        <f>+M69+M64</f>
        <v>3415</v>
      </c>
      <c r="N71" s="40">
        <f>+N69+N64</f>
        <v>9282</v>
      </c>
      <c r="O71" s="54" t="s">
        <v>8</v>
      </c>
    </row>
    <row r="72" spans="2:17" x14ac:dyDescent="0.25">
      <c r="D72" s="22"/>
      <c r="E72" t="s">
        <v>150</v>
      </c>
      <c r="F72" s="13">
        <f>G51+G55+F60+F62+F63+G67+(G66*0.67)+(G68*0.67)</f>
        <v>13157</v>
      </c>
      <c r="G72" s="13"/>
      <c r="H72" s="21"/>
      <c r="I72" s="47"/>
      <c r="O72" s="52"/>
    </row>
    <row r="73" spans="2:17" x14ac:dyDescent="0.25">
      <c r="D73" s="22"/>
      <c r="E73" t="s">
        <v>151</v>
      </c>
      <c r="F73" s="13">
        <f>F61+(G66*0.33)+(G68*0.33)</f>
        <v>1765</v>
      </c>
      <c r="G73" s="13"/>
      <c r="H73" s="21"/>
      <c r="I73" s="47"/>
      <c r="O73" s="62">
        <f>+(O49+O64+O69)</f>
        <v>42272</v>
      </c>
    </row>
    <row r="74" spans="2:17" x14ac:dyDescent="0.25">
      <c r="D74" s="23" t="s">
        <v>50</v>
      </c>
      <c r="G74" s="20" t="s">
        <v>8</v>
      </c>
      <c r="H74" s="24">
        <f>G71+G47</f>
        <v>42272</v>
      </c>
      <c r="I74" s="47" t="s">
        <v>8</v>
      </c>
      <c r="J74" s="47" t="s">
        <v>8</v>
      </c>
      <c r="K74" s="47">
        <f>+ K49</f>
        <v>5500</v>
      </c>
      <c r="O74" s="52"/>
    </row>
    <row r="75" spans="2:17" x14ac:dyDescent="0.25">
      <c r="D75" s="23"/>
      <c r="G75" s="20"/>
      <c r="H75" s="21"/>
      <c r="I75" s="47"/>
      <c r="O75" s="52"/>
    </row>
    <row r="76" spans="2:17" x14ac:dyDescent="0.25">
      <c r="D76" s="23" t="s">
        <v>52</v>
      </c>
      <c r="G76" s="13"/>
      <c r="H76" s="24">
        <f>H36-H74</f>
        <v>-10067</v>
      </c>
      <c r="I76" s="50">
        <f>+I36-I49</f>
        <v>-203.33333333333394</v>
      </c>
      <c r="J76" s="20">
        <f>+J36-J49</f>
        <v>608.33333333333212</v>
      </c>
      <c r="K76" s="20">
        <f>+K36-K49</f>
        <v>450</v>
      </c>
      <c r="L76" s="65">
        <f>+L36-L71</f>
        <v>2175</v>
      </c>
      <c r="M76" s="65">
        <f>+M36-M71</f>
        <v>585</v>
      </c>
      <c r="N76" s="65">
        <f>+N36-N71</f>
        <v>-1182</v>
      </c>
      <c r="O76" s="53">
        <f>+I76+J76+K76+L76+M76+N76</f>
        <v>2432.9999999999982</v>
      </c>
    </row>
    <row r="77" spans="2:17" x14ac:dyDescent="0.25">
      <c r="D77" s="23"/>
      <c r="E77" t="s">
        <v>210</v>
      </c>
      <c r="F77" s="21">
        <v>2400</v>
      </c>
      <c r="G77" s="13"/>
      <c r="H77" s="58"/>
      <c r="I77" s="55"/>
      <c r="J77" s="13">
        <f>+F77</f>
        <v>2400</v>
      </c>
      <c r="K77" s="13"/>
      <c r="L77" s="40"/>
      <c r="M77" s="40"/>
      <c r="N77" s="40"/>
      <c r="O77" s="53">
        <f>+O76+G35</f>
        <v>-10067.000000000002</v>
      </c>
    </row>
    <row r="78" spans="2:17" x14ac:dyDescent="0.25">
      <c r="D78" s="23"/>
      <c r="F78" s="21"/>
      <c r="G78" s="13"/>
      <c r="H78" s="58"/>
      <c r="I78" s="55"/>
      <c r="J78" s="13"/>
      <c r="K78" s="13"/>
      <c r="L78" s="40"/>
      <c r="M78" s="40"/>
      <c r="N78" s="40"/>
      <c r="O78" s="53"/>
    </row>
    <row r="79" spans="2:17" x14ac:dyDescent="0.25">
      <c r="B79" s="23" t="s">
        <v>219</v>
      </c>
      <c r="C79" s="23"/>
      <c r="D79" s="23" t="s">
        <v>211</v>
      </c>
      <c r="F79" s="21">
        <v>8000</v>
      </c>
      <c r="G79" s="13"/>
      <c r="H79" s="58">
        <f>-F79</f>
        <v>-8000</v>
      </c>
      <c r="I79" s="55"/>
      <c r="J79" s="63">
        <f>-0.85*F79</f>
        <v>-6800</v>
      </c>
      <c r="K79" s="63" t="s">
        <v>8</v>
      </c>
      <c r="L79" s="40">
        <f>-0.15*F79</f>
        <v>-1200</v>
      </c>
      <c r="M79" s="40"/>
      <c r="N79" s="40"/>
      <c r="O79" s="64">
        <f>-F79</f>
        <v>-8000</v>
      </c>
    </row>
    <row r="80" spans="2:17" x14ac:dyDescent="0.25">
      <c r="B80" s="23"/>
      <c r="C80" s="23"/>
      <c r="D80" s="23"/>
      <c r="F80" s="21"/>
      <c r="G80" s="13"/>
      <c r="H80" s="58"/>
      <c r="I80" s="55"/>
      <c r="J80" s="13"/>
      <c r="K80" s="13"/>
      <c r="L80" s="40"/>
      <c r="M80" s="40"/>
      <c r="N80" s="40"/>
      <c r="O80" s="53"/>
    </row>
    <row r="81" spans="2:17" x14ac:dyDescent="0.25">
      <c r="B81" s="23" t="s">
        <v>212</v>
      </c>
      <c r="C81" s="23"/>
      <c r="D81" s="23"/>
      <c r="F81" s="21"/>
      <c r="G81" s="13"/>
      <c r="H81" s="58">
        <f>+H76+H79</f>
        <v>-18067</v>
      </c>
      <c r="I81" s="20">
        <f>+I76+I77-I79</f>
        <v>-203.33333333333394</v>
      </c>
      <c r="J81" s="20">
        <f>+J76+J77+J79</f>
        <v>-3791.6666666666679</v>
      </c>
      <c r="K81" s="20">
        <f>+K76</f>
        <v>450</v>
      </c>
      <c r="L81" s="20">
        <f>+L76+L77+L79</f>
        <v>975</v>
      </c>
      <c r="M81" s="20">
        <f>+M76+M77-M79</f>
        <v>585</v>
      </c>
      <c r="N81" s="20">
        <f>+N76+N77-N79</f>
        <v>-1182</v>
      </c>
      <c r="O81" s="53">
        <f>+O77+O79</f>
        <v>-18067</v>
      </c>
    </row>
    <row r="82" spans="2:17" x14ac:dyDescent="0.25">
      <c r="B82" t="s">
        <v>23</v>
      </c>
      <c r="G82" s="13"/>
      <c r="H82" s="59"/>
    </row>
    <row r="83" spans="2:17" x14ac:dyDescent="0.25">
      <c r="D83" t="s">
        <v>24</v>
      </c>
      <c r="G83" s="13">
        <f>-6000</f>
        <v>-6000</v>
      </c>
      <c r="H83" s="59"/>
      <c r="Q83" t="s">
        <v>142</v>
      </c>
    </row>
    <row r="84" spans="2:17" x14ac:dyDescent="0.25">
      <c r="D84" t="s">
        <v>25</v>
      </c>
      <c r="G84" s="13">
        <v>-5000</v>
      </c>
      <c r="H84" s="59"/>
    </row>
    <row r="85" spans="2:17" x14ac:dyDescent="0.25">
      <c r="D85" s="19" t="s">
        <v>51</v>
      </c>
      <c r="G85" s="20">
        <f>SUM(G83:G84)</f>
        <v>-11000</v>
      </c>
      <c r="H85" s="59"/>
    </row>
    <row r="86" spans="2:17" x14ac:dyDescent="0.25">
      <c r="G86" s="13"/>
      <c r="H86" s="59"/>
    </row>
    <row r="87" spans="2:17" x14ac:dyDescent="0.25">
      <c r="B87" s="19" t="s">
        <v>216</v>
      </c>
      <c r="C87" s="19"/>
      <c r="D87" s="19" t="s">
        <v>53</v>
      </c>
      <c r="G87" s="13"/>
      <c r="H87" s="58">
        <f>H9+H76+G85</f>
        <v>9533</v>
      </c>
    </row>
    <row r="88" spans="2:17" x14ac:dyDescent="0.25">
      <c r="G88" s="13"/>
      <c r="H88" s="21"/>
    </row>
    <row r="89" spans="2:17" x14ac:dyDescent="0.25">
      <c r="B89" s="43" t="s">
        <v>186</v>
      </c>
      <c r="C89" s="43"/>
      <c r="D89" s="23" t="s">
        <v>187</v>
      </c>
      <c r="E89" s="22" t="s">
        <v>188</v>
      </c>
      <c r="F89" s="22" t="s">
        <v>189</v>
      </c>
      <c r="G89" s="13"/>
      <c r="H89" s="21"/>
    </row>
    <row r="90" spans="2:17" x14ac:dyDescent="0.25">
      <c r="B90" s="30" t="s">
        <v>220</v>
      </c>
      <c r="C90" s="30"/>
      <c r="D90" s="30">
        <v>4000</v>
      </c>
      <c r="E90" s="30">
        <v>5500</v>
      </c>
      <c r="F90" s="30">
        <v>5500</v>
      </c>
      <c r="G90" s="37">
        <f>+SUM(D90:F90)</f>
        <v>15000</v>
      </c>
      <c r="H90" s="41"/>
      <c r="I90" s="30" t="s">
        <v>8</v>
      </c>
      <c r="J90">
        <f>F90/17</f>
        <v>323.52941176470586</v>
      </c>
      <c r="Q90" t="s">
        <v>222</v>
      </c>
    </row>
    <row r="91" spans="2:17" x14ac:dyDescent="0.25">
      <c r="B91" t="s">
        <v>198</v>
      </c>
      <c r="E91">
        <f>5000</f>
        <v>5000</v>
      </c>
      <c r="F91" t="s">
        <v>8</v>
      </c>
      <c r="G91" s="13">
        <f t="shared" ref="G91:G97" si="1">SUM(D91:F91)</f>
        <v>5000</v>
      </c>
      <c r="H91" s="21"/>
    </row>
    <row r="92" spans="2:17" x14ac:dyDescent="0.25">
      <c r="B92" t="s">
        <v>197</v>
      </c>
      <c r="D92">
        <v>1000</v>
      </c>
      <c r="E92">
        <v>2000</v>
      </c>
      <c r="F92" t="s">
        <v>8</v>
      </c>
      <c r="G92" s="13">
        <f t="shared" si="1"/>
        <v>3000</v>
      </c>
      <c r="H92" s="21"/>
    </row>
    <row r="93" spans="2:17" x14ac:dyDescent="0.25">
      <c r="B93" t="s">
        <v>190</v>
      </c>
      <c r="D93">
        <v>900</v>
      </c>
      <c r="G93" s="13">
        <f t="shared" si="1"/>
        <v>900</v>
      </c>
      <c r="H93" s="21"/>
    </row>
    <row r="94" spans="2:17" x14ac:dyDescent="0.25">
      <c r="B94" t="s">
        <v>191</v>
      </c>
      <c r="D94">
        <v>500</v>
      </c>
      <c r="G94" s="13">
        <f t="shared" si="1"/>
        <v>500</v>
      </c>
      <c r="H94" s="21"/>
    </row>
    <row r="95" spans="2:17" x14ac:dyDescent="0.25">
      <c r="B95" t="s">
        <v>192</v>
      </c>
      <c r="D95">
        <v>1000</v>
      </c>
      <c r="G95" s="13">
        <f t="shared" si="1"/>
        <v>1000</v>
      </c>
      <c r="H95" s="21"/>
    </row>
    <row r="96" spans="2:17" x14ac:dyDescent="0.25">
      <c r="B96" t="s">
        <v>193</v>
      </c>
      <c r="D96">
        <v>1350</v>
      </c>
      <c r="G96" s="13">
        <f t="shared" si="1"/>
        <v>1350</v>
      </c>
      <c r="H96" s="21"/>
    </row>
    <row r="97" spans="2:15" x14ac:dyDescent="0.25">
      <c r="B97" t="s">
        <v>194</v>
      </c>
      <c r="D97">
        <v>600</v>
      </c>
      <c r="G97" s="13">
        <f t="shared" si="1"/>
        <v>600</v>
      </c>
      <c r="H97" s="21"/>
    </row>
    <row r="98" spans="2:15" x14ac:dyDescent="0.25">
      <c r="G98" s="13"/>
      <c r="H98" s="21"/>
    </row>
    <row r="99" spans="2:15" x14ac:dyDescent="0.25">
      <c r="B99" s="22" t="s">
        <v>163</v>
      </c>
      <c r="C99" s="22"/>
      <c r="D99">
        <f>+SUM(D90:D97)</f>
        <v>9350</v>
      </c>
      <c r="E99">
        <f>+SUM(E90:E97)</f>
        <v>12500</v>
      </c>
      <c r="F99">
        <f>+SUM(F90:F97)</f>
        <v>5500</v>
      </c>
      <c r="G99" s="13">
        <f>SUM(G90:G97)</f>
        <v>27350</v>
      </c>
      <c r="H99" s="21"/>
    </row>
    <row r="100" spans="2:15" x14ac:dyDescent="0.25">
      <c r="B100" s="22"/>
      <c r="C100" s="22"/>
      <c r="G100" s="13"/>
      <c r="H100" s="21"/>
    </row>
    <row r="101" spans="2:15" x14ac:dyDescent="0.25">
      <c r="B101" t="s">
        <v>195</v>
      </c>
      <c r="D101" s="44">
        <f>D99/(F12+F14+F15+F28)</f>
        <v>124.66666666666667</v>
      </c>
      <c r="G101" s="13"/>
      <c r="H101" s="21"/>
    </row>
    <row r="102" spans="2:15" x14ac:dyDescent="0.25">
      <c r="B102" t="s">
        <v>196</v>
      </c>
      <c r="D102" s="44">
        <f>D99/(F12+F14+F15+F18+F28)</f>
        <v>110</v>
      </c>
      <c r="G102" s="13"/>
      <c r="H102" s="21"/>
    </row>
    <row r="103" spans="2:15" x14ac:dyDescent="0.25">
      <c r="G103" s="13"/>
      <c r="H103" s="21"/>
    </row>
    <row r="104" spans="2:15" x14ac:dyDescent="0.25">
      <c r="G104" s="13"/>
      <c r="H104" s="21" t="s">
        <v>240</v>
      </c>
      <c r="I104" s="46" t="s">
        <v>199</v>
      </c>
      <c r="J104" s="45" t="s">
        <v>200</v>
      </c>
      <c r="K104" s="45" t="s">
        <v>201</v>
      </c>
      <c r="L104" s="45" t="s">
        <v>139</v>
      </c>
      <c r="M104" s="45" t="s">
        <v>202</v>
      </c>
      <c r="N104" s="45" t="s">
        <v>203</v>
      </c>
      <c r="O104" s="45" t="s">
        <v>213</v>
      </c>
    </row>
    <row r="105" spans="2:15" x14ac:dyDescent="0.25">
      <c r="G105" s="13"/>
      <c r="H105" s="21"/>
    </row>
    <row r="106" spans="2:15" x14ac:dyDescent="0.25">
      <c r="G106" s="13"/>
      <c r="H106" s="21" t="s">
        <v>239</v>
      </c>
      <c r="I106" s="13">
        <f t="shared" ref="I106:O106" si="2">+I36</f>
        <v>9146.6666666666661</v>
      </c>
      <c r="J106" s="13">
        <f t="shared" si="2"/>
        <v>13108.333333333332</v>
      </c>
      <c r="K106" s="13">
        <f t="shared" si="2"/>
        <v>5950</v>
      </c>
      <c r="L106" s="13">
        <f t="shared" si="2"/>
        <v>4400</v>
      </c>
      <c r="M106" s="13">
        <f t="shared" si="2"/>
        <v>4000</v>
      </c>
      <c r="N106" s="13">
        <f t="shared" si="2"/>
        <v>8100</v>
      </c>
      <c r="O106" s="13">
        <f t="shared" si="2"/>
        <v>44705</v>
      </c>
    </row>
    <row r="107" spans="2:15" x14ac:dyDescent="0.25">
      <c r="G107" s="13"/>
      <c r="H107" s="21" t="s">
        <v>241</v>
      </c>
      <c r="I107" s="40">
        <f t="shared" ref="I107:N107" si="3">+I71</f>
        <v>9350</v>
      </c>
      <c r="J107" s="40">
        <f t="shared" si="3"/>
        <v>12500</v>
      </c>
      <c r="K107" s="40">
        <f t="shared" si="3"/>
        <v>5500</v>
      </c>
      <c r="L107" s="40">
        <f t="shared" si="3"/>
        <v>2225</v>
      </c>
      <c r="M107" s="40">
        <f t="shared" si="3"/>
        <v>3415</v>
      </c>
      <c r="N107" s="40">
        <f t="shared" si="3"/>
        <v>9282</v>
      </c>
      <c r="O107" s="40">
        <f>+O73</f>
        <v>42272</v>
      </c>
    </row>
    <row r="108" spans="2:15" x14ac:dyDescent="0.25">
      <c r="G108" s="13"/>
      <c r="H108" s="21"/>
    </row>
    <row r="109" spans="2:15" x14ac:dyDescent="0.25">
      <c r="G109" s="13"/>
      <c r="H109" s="21" t="s">
        <v>242</v>
      </c>
      <c r="I109" s="40">
        <f t="shared" ref="I109:O109" si="4">+I106-I107</f>
        <v>-203.33333333333394</v>
      </c>
      <c r="J109" s="40">
        <f t="shared" si="4"/>
        <v>608.33333333333212</v>
      </c>
      <c r="K109" s="40">
        <f t="shared" si="4"/>
        <v>450</v>
      </c>
      <c r="L109" s="40">
        <f t="shared" si="4"/>
        <v>2175</v>
      </c>
      <c r="M109" s="40">
        <f t="shared" si="4"/>
        <v>585</v>
      </c>
      <c r="N109" s="40">
        <f t="shared" si="4"/>
        <v>-1182</v>
      </c>
      <c r="O109" s="40">
        <f t="shared" si="4"/>
        <v>2433</v>
      </c>
    </row>
    <row r="110" spans="2:15" x14ac:dyDescent="0.25">
      <c r="G110" s="13"/>
      <c r="H110" s="21"/>
    </row>
    <row r="111" spans="2:15" x14ac:dyDescent="0.25">
      <c r="G111" s="13"/>
      <c r="H111" s="21" t="s">
        <v>243</v>
      </c>
      <c r="J111" s="63">
        <f>+J79</f>
        <v>-6800</v>
      </c>
      <c r="L111" s="40">
        <f>+L79</f>
        <v>-1200</v>
      </c>
      <c r="O111" s="40">
        <f>+J111+L111</f>
        <v>-8000</v>
      </c>
    </row>
    <row r="112" spans="2:15" x14ac:dyDescent="0.25">
      <c r="G112" s="13"/>
      <c r="H112" s="21"/>
    </row>
    <row r="113" spans="7:15" x14ac:dyDescent="0.25">
      <c r="G113" s="13"/>
      <c r="H113" s="21" t="s">
        <v>244</v>
      </c>
      <c r="I113" s="40">
        <f>+I109</f>
        <v>-203.33333333333394</v>
      </c>
      <c r="J113" s="63">
        <f t="shared" ref="J113:O113" si="5">+J109+J111</f>
        <v>-6191.6666666666679</v>
      </c>
      <c r="K113" s="63">
        <f t="shared" si="5"/>
        <v>450</v>
      </c>
      <c r="L113" s="63">
        <f t="shared" si="5"/>
        <v>975</v>
      </c>
      <c r="M113" s="63">
        <f t="shared" si="5"/>
        <v>585</v>
      </c>
      <c r="N113" s="63">
        <f t="shared" si="5"/>
        <v>-1182</v>
      </c>
      <c r="O113" s="63">
        <f t="shared" si="5"/>
        <v>-5567</v>
      </c>
    </row>
    <row r="114" spans="7:15" x14ac:dyDescent="0.25">
      <c r="G114" s="13"/>
      <c r="H114" s="21" t="s">
        <v>245</v>
      </c>
      <c r="J114" s="68">
        <v>2400</v>
      </c>
      <c r="O114" s="68">
        <f>+J114</f>
        <v>2400</v>
      </c>
    </row>
    <row r="115" spans="7:15" x14ac:dyDescent="0.25">
      <c r="G115" s="13"/>
      <c r="H115" s="21"/>
    </row>
    <row r="116" spans="7:15" x14ac:dyDescent="0.25">
      <c r="G116" s="13"/>
      <c r="H116" s="21" t="s">
        <v>246</v>
      </c>
      <c r="J116" s="69">
        <f>+J113+J114</f>
        <v>-3791.6666666666679</v>
      </c>
      <c r="O116" s="69">
        <f>+O113+O114</f>
        <v>-3167</v>
      </c>
    </row>
    <row r="117" spans="7:15" x14ac:dyDescent="0.25">
      <c r="G117" s="13"/>
      <c r="H117" s="21"/>
    </row>
    <row r="118" spans="7:15" x14ac:dyDescent="0.25">
      <c r="G118" s="13"/>
      <c r="H118" s="21"/>
    </row>
    <row r="119" spans="7:15" x14ac:dyDescent="0.25">
      <c r="G119" s="13"/>
      <c r="H119" s="21"/>
    </row>
    <row r="120" spans="7:15" x14ac:dyDescent="0.25">
      <c r="G120" s="13"/>
      <c r="H120" s="21"/>
    </row>
    <row r="121" spans="7:15" x14ac:dyDescent="0.25">
      <c r="G121" s="13"/>
      <c r="H121" s="21"/>
    </row>
    <row r="122" spans="7:15" x14ac:dyDescent="0.25">
      <c r="G122" s="13"/>
      <c r="H122" s="21"/>
    </row>
  </sheetData>
  <phoneticPr fontId="11" type="noConversion"/>
  <pageMargins left="0.5" right="0.5" top="0.75" bottom="0.75" header="0.5" footer="0.5"/>
  <headerFooter alignWithMargins="0">
    <oddHeader>&amp;LConsolidating statements&amp;CDRAFT&amp;RMRRA Budget</oddHeader>
    <oddFooter>&amp;LJWB with KS Budget&amp;R&amp;D</oddFooter>
  </headerFooter>
  <rowBreaks count="2" manualBreakCount="2">
    <brk id="37" max="16383" man="1"/>
    <brk id="87" max="13" man="1"/>
  </rowBreaks>
  <ignoredErrors>
    <ignoredError sqref="K81" formula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2014 Budget</vt:lpstr>
      <vt:lpstr>2013 Budget</vt:lpstr>
      <vt:lpstr>2012 budget</vt:lpstr>
      <vt:lpstr>Equipment</vt:lpstr>
      <vt:lpstr>Programs</vt:lpstr>
      <vt:lpstr>Safety</vt:lpstr>
      <vt:lpstr>Festival</vt:lpstr>
      <vt:lpstr>Junior Sweep</vt:lpstr>
      <vt:lpstr>consolidating 2011</vt:lpstr>
      <vt:lpstr>2011 Budget&amp;actual</vt:lpstr>
      <vt:lpstr>'2013 Budget'!Print_Area</vt:lpstr>
      <vt:lpstr>'2014 Budget'!Print_Area</vt:lpstr>
      <vt:lpstr>'consolidating 2011'!Print_Area</vt:lpstr>
    </vt:vector>
  </TitlesOfParts>
  <Company>Volcano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kscammell</dc:creator>
  <cp:lastModifiedBy>Karen Scammell</cp:lastModifiedBy>
  <cp:lastPrinted>2014-03-11T03:10:44Z</cp:lastPrinted>
  <dcterms:created xsi:type="dcterms:W3CDTF">2011-02-05T21:46:17Z</dcterms:created>
  <dcterms:modified xsi:type="dcterms:W3CDTF">2014-04-05T22:36:58Z</dcterms:modified>
</cp:coreProperties>
</file>